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MMINISTRAZIONE TRASPARENTE\performance\PERFORMANCE\"/>
    </mc:Choice>
  </mc:AlternateContent>
  <xr:revisionPtr revIDLastSave="0" documentId="8_{36EF104B-9D1F-4E50-B690-9DFCCF3CDD7B}" xr6:coauthVersionLast="47" xr6:coauthVersionMax="47" xr10:uidLastSave="{00000000-0000-0000-0000-000000000000}"/>
  <bookViews>
    <workbookView xWindow="-120" yWindow="-120" windowWidth="20730" windowHeight="11160" tabRatio="602" firstSheet="7" activeTab="7" xr2:uid="{00000000-000D-0000-FFFF-FFFF00000000}"/>
  </bookViews>
  <sheets>
    <sheet name="CALCOLI" sheetId="1" r:id="rId1"/>
    <sheet name="SISTEMA" sheetId="2" r:id="rId2"/>
    <sheet name="OBIETTIVI DI GRUPPO E IND(2)" sheetId="5" state="hidden" r:id="rId3"/>
    <sheet name="istituzionali" sheetId="6" state="hidden" r:id="rId4"/>
    <sheet name="totali" sheetId="7" state="hidden" r:id="rId5"/>
    <sheet name="conto annuale" sheetId="8" state="hidden" r:id="rId6"/>
    <sheet name="Foglio1" sheetId="9" state="hidden" r:id="rId7"/>
    <sheet name="PER SITO" sheetId="10" r:id="rId8"/>
  </sheets>
  <externalReferences>
    <externalReference r:id="rId9"/>
  </externalReferences>
  <definedNames>
    <definedName name="_xlnm._FilterDatabase" localSheetId="4" hidden="1">totali!$A$8:$R$54</definedName>
    <definedName name="_xlnm.Print_Area" localSheetId="0">CALCOLI!$A$1:$H$89</definedName>
    <definedName name="_xlnm.Print_Area" localSheetId="5">'conto annuale'!$A$1:$Q$62</definedName>
    <definedName name="_xlnm.Print_Area" localSheetId="6">Foglio1!$A$1:$F$45</definedName>
    <definedName name="_xlnm.Print_Area" localSheetId="3">istituzionali!$A$1:$P$60</definedName>
    <definedName name="_xlnm.Print_Area" localSheetId="2">'OBIETTIVI DI GRUPPO E IND(2)'!$A$2:$Y$105</definedName>
    <definedName name="_xlnm.Print_Area" localSheetId="7">'PER SITO'!$A$1:$C$30</definedName>
    <definedName name="_xlnm.Print_Area" localSheetId="1">SISTEMA!$A$1:$S$61</definedName>
    <definedName name="_xlnm.Print_Area" localSheetId="4">totali!$A$2:$K$74</definedName>
    <definedName name="tabella">SISTEMA!$B$61:$C$65</definedName>
    <definedName name="tabella1">'OBIETTIVI DI GRUPPO E IND(2)'!#REF!</definedName>
    <definedName name="TABELLA2">'OBIETTIVI DI GRUPPO E IND(2)'!#REF!</definedName>
    <definedName name="tabella3">'OBIETTIVI DI GRUPPO E IND(2)'!$A$127:$B$131</definedName>
    <definedName name="_xlnm.Print_Titles" localSheetId="3">istituzionali!$2:$2</definedName>
    <definedName name="_xlnm.Print_Titles" localSheetId="2">'OBIETTIVI DI GRUPPO E IND(2)'!$2:$3</definedName>
    <definedName name="_xlnm.Print_Titles" localSheetId="1">SISTEMA!$2:$2</definedName>
    <definedName name="Valori">SISTEMA!#REF!</definedName>
    <definedName name="vvv">SISTEMA!#REF!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0" l="1"/>
  <c r="B29" i="10"/>
  <c r="B11" i="10"/>
  <c r="C28" i="1" l="1"/>
  <c r="N38" i="2" l="1"/>
  <c r="N23" i="2"/>
  <c r="H35" i="2" l="1"/>
  <c r="H46" i="7"/>
  <c r="H45" i="7"/>
  <c r="H25" i="7"/>
  <c r="H24" i="7"/>
  <c r="H8" i="7"/>
  <c r="H7" i="7"/>
  <c r="G25" i="7"/>
  <c r="G24" i="7"/>
  <c r="G46" i="7"/>
  <c r="G45" i="7"/>
  <c r="G8" i="7"/>
  <c r="G7" i="7"/>
  <c r="K12" i="2" l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9" i="2"/>
  <c r="K33" i="2"/>
  <c r="K34" i="2"/>
  <c r="K35" i="2"/>
  <c r="K38" i="2"/>
  <c r="K40" i="2"/>
  <c r="K41" i="2"/>
  <c r="K42" i="2"/>
  <c r="K43" i="2"/>
  <c r="K44" i="2"/>
  <c r="K45" i="2"/>
  <c r="K46" i="2"/>
  <c r="K47" i="2"/>
  <c r="K48" i="2"/>
  <c r="K49" i="2"/>
  <c r="K50" i="2"/>
  <c r="K51" i="2"/>
  <c r="K3" i="2"/>
  <c r="K4" i="2"/>
  <c r="K5" i="2"/>
  <c r="K6" i="2"/>
  <c r="K7" i="2"/>
  <c r="K8" i="2"/>
  <c r="K9" i="2"/>
  <c r="K10" i="2"/>
  <c r="I55" i="2"/>
  <c r="J55" i="2"/>
  <c r="Q55" i="2"/>
  <c r="J105" i="5"/>
  <c r="K105" i="5"/>
  <c r="L105" i="5"/>
  <c r="N105" i="5"/>
  <c r="O105" i="5"/>
  <c r="V105" i="5"/>
  <c r="N21" i="2" l="1"/>
  <c r="N19" i="2"/>
  <c r="N18" i="2"/>
  <c r="N4" i="2"/>
  <c r="N3" i="2"/>
  <c r="Q63" i="5" l="1"/>
  <c r="Q62" i="5"/>
  <c r="J49" i="6"/>
  <c r="M39" i="2" l="1"/>
  <c r="G36" i="2"/>
  <c r="K36" i="2" s="1"/>
  <c r="M35" i="5"/>
  <c r="M36" i="5"/>
  <c r="M37" i="5"/>
  <c r="M34" i="5"/>
  <c r="M51" i="5" l="1"/>
  <c r="M50" i="5"/>
  <c r="B96" i="1"/>
  <c r="B55" i="1"/>
  <c r="N28" i="1" l="1"/>
  <c r="N16" i="2" l="1"/>
  <c r="N15" i="2"/>
  <c r="N36" i="2"/>
  <c r="N26" i="2"/>
  <c r="N28" i="2"/>
  <c r="N12" i="2"/>
  <c r="N11" i="2"/>
  <c r="N29" i="2"/>
  <c r="N40" i="2"/>
  <c r="N39" i="2"/>
  <c r="N35" i="2"/>
  <c r="N27" i="2"/>
  <c r="I28" i="7" l="1"/>
  <c r="I31" i="7"/>
  <c r="I25" i="7"/>
  <c r="I24" i="7"/>
  <c r="I4" i="7"/>
  <c r="J28" i="7" l="1"/>
  <c r="J29" i="7"/>
  <c r="K29" i="7" s="1"/>
  <c r="J30" i="7"/>
  <c r="J31" i="7"/>
  <c r="J32" i="7"/>
  <c r="K32" i="7" s="1"/>
  <c r="J33" i="7"/>
  <c r="K33" i="7" s="1"/>
  <c r="J34" i="7"/>
  <c r="K34" i="7" s="1"/>
  <c r="J35" i="7"/>
  <c r="K35" i="7" s="1"/>
  <c r="J36" i="7"/>
  <c r="K36" i="7" s="1"/>
  <c r="J37" i="7"/>
  <c r="K37" i="7" s="1"/>
  <c r="J38" i="7"/>
  <c r="K38" i="7" s="1"/>
  <c r="J39" i="7"/>
  <c r="K39" i="7" s="1"/>
  <c r="J40" i="7"/>
  <c r="K40" i="7" s="1"/>
  <c r="J41" i="7"/>
  <c r="K41" i="7" s="1"/>
  <c r="J42" i="7"/>
  <c r="K42" i="7" s="1"/>
  <c r="J43" i="7"/>
  <c r="K43" i="7" s="1"/>
  <c r="J44" i="7"/>
  <c r="K44" i="7" s="1"/>
  <c r="J45" i="7"/>
  <c r="K45" i="7" s="1"/>
  <c r="J46" i="7"/>
  <c r="K46" i="7" s="1"/>
  <c r="J47" i="7"/>
  <c r="K47" i="7" s="1"/>
  <c r="J48" i="7"/>
  <c r="K48" i="7" s="1"/>
  <c r="J49" i="7"/>
  <c r="K49" i="7" s="1"/>
  <c r="J50" i="7"/>
  <c r="K50" i="7" s="1"/>
  <c r="J51" i="7"/>
  <c r="K51" i="7" s="1"/>
  <c r="J52" i="7"/>
  <c r="K52" i="7" s="1"/>
  <c r="J27" i="7"/>
  <c r="K27" i="7" s="1"/>
  <c r="J20" i="7"/>
  <c r="K20" i="7" s="1"/>
  <c r="J21" i="7"/>
  <c r="K21" i="7" s="1"/>
  <c r="J22" i="7"/>
  <c r="K22" i="7" s="1"/>
  <c r="J23" i="7"/>
  <c r="K23" i="7" s="1"/>
  <c r="J24" i="7"/>
  <c r="J25" i="7"/>
  <c r="J26" i="7"/>
  <c r="J18" i="7"/>
  <c r="K18" i="7" s="1"/>
  <c r="J19" i="7"/>
  <c r="J17" i="7"/>
  <c r="K17" i="7" s="1"/>
  <c r="J16" i="7"/>
  <c r="K16" i="7" s="1"/>
  <c r="J5" i="7"/>
  <c r="K5" i="7" s="1"/>
  <c r="J6" i="7"/>
  <c r="K6" i="7" s="1"/>
  <c r="J7" i="7"/>
  <c r="K7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K19" i="7"/>
  <c r="K24" i="7" l="1"/>
  <c r="K31" i="7"/>
  <c r="I30" i="7"/>
  <c r="K30" i="7" s="1"/>
  <c r="K28" i="7"/>
  <c r="I26" i="7"/>
  <c r="K26" i="7" s="1"/>
  <c r="K25" i="7"/>
  <c r="J4" i="7" l="1"/>
  <c r="K4" i="7" s="1"/>
  <c r="J43" i="6"/>
  <c r="J39" i="6"/>
  <c r="J17" i="6"/>
  <c r="J16" i="6"/>
  <c r="I33" i="6"/>
  <c r="K33" i="6" s="1"/>
  <c r="I34" i="6"/>
  <c r="K34" i="6" s="1"/>
  <c r="I35" i="6"/>
  <c r="K35" i="6" s="1"/>
  <c r="G33" i="6"/>
  <c r="G34" i="6"/>
  <c r="G35" i="6"/>
  <c r="H32" i="6"/>
  <c r="I32" i="6" s="1"/>
  <c r="K32" i="6" s="1"/>
  <c r="G32" i="6"/>
  <c r="H31" i="6"/>
  <c r="G31" i="6"/>
  <c r="H49" i="6"/>
  <c r="H40" i="6"/>
  <c r="H28" i="6"/>
  <c r="G49" i="6"/>
  <c r="H16" i="6"/>
  <c r="H14" i="6"/>
  <c r="H4" i="6"/>
  <c r="I31" i="6" l="1"/>
  <c r="K31" i="6" s="1"/>
  <c r="C30" i="1"/>
  <c r="D30" i="1"/>
  <c r="E30" i="1"/>
  <c r="F30" i="1"/>
  <c r="G30" i="1"/>
  <c r="H30" i="1"/>
  <c r="Q57" i="5" l="1"/>
  <c r="Q56" i="5"/>
  <c r="Q55" i="5"/>
  <c r="Q54" i="5"/>
  <c r="M4" i="5"/>
  <c r="M97" i="5"/>
  <c r="M95" i="5"/>
  <c r="M93" i="5"/>
  <c r="P93" i="5" s="1"/>
  <c r="M85" i="5"/>
  <c r="M62" i="5"/>
  <c r="M58" i="5"/>
  <c r="M26" i="5"/>
  <c r="P102" i="5"/>
  <c r="I102" i="5"/>
  <c r="R102" i="5" s="1"/>
  <c r="I101" i="5"/>
  <c r="P100" i="5"/>
  <c r="I100" i="5"/>
  <c r="I99" i="5"/>
  <c r="P98" i="5"/>
  <c r="I98" i="5"/>
  <c r="R98" i="5" s="1"/>
  <c r="I97" i="5"/>
  <c r="I96" i="5"/>
  <c r="P95" i="5"/>
  <c r="I95" i="5"/>
  <c r="R95" i="5" s="1"/>
  <c r="I94" i="5"/>
  <c r="I93" i="5"/>
  <c r="M43" i="2"/>
  <c r="M38" i="2"/>
  <c r="M14" i="2"/>
  <c r="M13" i="2"/>
  <c r="G39" i="2"/>
  <c r="K39" i="2" s="1"/>
  <c r="G37" i="2"/>
  <c r="K37" i="2" s="1"/>
  <c r="G32" i="2"/>
  <c r="K32" i="2" s="1"/>
  <c r="G31" i="2"/>
  <c r="K31" i="2" s="1"/>
  <c r="G30" i="2"/>
  <c r="K30" i="2" s="1"/>
  <c r="G28" i="2"/>
  <c r="K28" i="2" s="1"/>
  <c r="G13" i="2"/>
  <c r="K13" i="2" s="1"/>
  <c r="G11" i="2"/>
  <c r="K11" i="2" s="1"/>
  <c r="K55" i="2" l="1"/>
  <c r="M105" i="5"/>
  <c r="R93" i="5"/>
  <c r="P101" i="5"/>
  <c r="R101" i="5" s="1"/>
  <c r="S102" i="5"/>
  <c r="P99" i="5"/>
  <c r="R99" i="5" s="1"/>
  <c r="R100" i="5"/>
  <c r="S100" i="5"/>
  <c r="P97" i="5"/>
  <c r="R97" i="5" s="1"/>
  <c r="S98" i="5"/>
  <c r="P96" i="5"/>
  <c r="R96" i="5" s="1"/>
  <c r="S95" i="5"/>
  <c r="S93" i="5"/>
  <c r="P94" i="5"/>
  <c r="R94" i="5" s="1"/>
  <c r="G55" i="2"/>
  <c r="S101" i="5" l="1"/>
  <c r="S99" i="5"/>
  <c r="S97" i="5"/>
  <c r="S96" i="5"/>
  <c r="S94" i="5"/>
  <c r="O32" i="2"/>
  <c r="O33" i="2"/>
  <c r="O34" i="2"/>
  <c r="N32" i="2"/>
  <c r="N33" i="2"/>
  <c r="N34" i="2"/>
  <c r="L32" i="2"/>
  <c r="L33" i="2"/>
  <c r="L34" i="2"/>
  <c r="H32" i="2"/>
  <c r="H33" i="2"/>
  <c r="H34" i="2"/>
  <c r="O31" i="2"/>
  <c r="N31" i="2"/>
  <c r="L31" i="2"/>
  <c r="H31" i="2"/>
  <c r="N30" i="2"/>
  <c r="L30" i="2"/>
  <c r="H30" i="2"/>
  <c r="L3" i="2"/>
  <c r="H3" i="2"/>
  <c r="O3" i="2" l="1"/>
  <c r="O30" i="2"/>
  <c r="G15" i="6" l="1"/>
  <c r="I15" i="6" s="1"/>
  <c r="K15" i="6" s="1"/>
  <c r="H15" i="2"/>
  <c r="L15" i="2"/>
  <c r="O15" i="2" l="1"/>
  <c r="D86" i="2" l="1"/>
  <c r="D82" i="2"/>
  <c r="D142" i="5"/>
  <c r="D138" i="5"/>
  <c r="B5" i="10"/>
  <c r="N14" i="2"/>
  <c r="L14" i="2"/>
  <c r="H14" i="2"/>
  <c r="N45" i="2"/>
  <c r="L12" i="2"/>
  <c r="H12" i="2"/>
  <c r="N42" i="2"/>
  <c r="N47" i="2"/>
  <c r="N41" i="2"/>
  <c r="N43" i="2"/>
  <c r="N46" i="2"/>
  <c r="N22" i="2"/>
  <c r="N9" i="2"/>
  <c r="N25" i="2"/>
  <c r="N37" i="2"/>
  <c r="N24" i="2"/>
  <c r="N8" i="2"/>
  <c r="J40" i="6"/>
  <c r="P88" i="5"/>
  <c r="P87" i="5"/>
  <c r="P36" i="5"/>
  <c r="I36" i="5"/>
  <c r="P35" i="5"/>
  <c r="I35" i="5"/>
  <c r="P92" i="5"/>
  <c r="P91" i="5"/>
  <c r="P83" i="5"/>
  <c r="P6" i="5"/>
  <c r="P90" i="5"/>
  <c r="I90" i="5"/>
  <c r="P89" i="5"/>
  <c r="I89" i="5"/>
  <c r="P73" i="5"/>
  <c r="I73" i="5"/>
  <c r="P72" i="5"/>
  <c r="I72" i="5"/>
  <c r="I88" i="5"/>
  <c r="I87" i="5"/>
  <c r="P84" i="5"/>
  <c r="I84" i="5"/>
  <c r="I83" i="5"/>
  <c r="S82" i="5"/>
  <c r="R82" i="5"/>
  <c r="P82" i="5"/>
  <c r="I82" i="5"/>
  <c r="P81" i="5"/>
  <c r="I81" i="5"/>
  <c r="P80" i="5"/>
  <c r="I80" i="5"/>
  <c r="I91" i="5"/>
  <c r="I92" i="5"/>
  <c r="I37" i="5"/>
  <c r="I34" i="5"/>
  <c r="P7" i="5"/>
  <c r="I7" i="5"/>
  <c r="I6" i="5"/>
  <c r="G5" i="6"/>
  <c r="G6" i="6"/>
  <c r="I6" i="6" s="1"/>
  <c r="K6" i="6" s="1"/>
  <c r="G30" i="6"/>
  <c r="I30" i="6" s="1"/>
  <c r="K30" i="6" s="1"/>
  <c r="G29" i="6"/>
  <c r="I29" i="6" s="1"/>
  <c r="G28" i="6"/>
  <c r="I28" i="6" s="1"/>
  <c r="K28" i="6" s="1"/>
  <c r="G27" i="6"/>
  <c r="I27" i="6" s="1"/>
  <c r="K27" i="6" s="1"/>
  <c r="H52" i="6"/>
  <c r="G14" i="6"/>
  <c r="I14" i="6" s="1"/>
  <c r="K14" i="6" s="1"/>
  <c r="N59" i="2"/>
  <c r="N51" i="2"/>
  <c r="N50" i="2"/>
  <c r="N20" i="2"/>
  <c r="N13" i="2"/>
  <c r="N10" i="2"/>
  <c r="L26" i="2"/>
  <c r="H26" i="2"/>
  <c r="O26" i="2" s="1"/>
  <c r="H27" i="2"/>
  <c r="H28" i="2"/>
  <c r="H29" i="2"/>
  <c r="L29" i="2"/>
  <c r="L28" i="2"/>
  <c r="L27" i="2"/>
  <c r="N5" i="2"/>
  <c r="L4" i="2"/>
  <c r="L5" i="2"/>
  <c r="H4" i="2"/>
  <c r="L11" i="2"/>
  <c r="H11" i="2"/>
  <c r="U41" i="1"/>
  <c r="U24" i="1" s="1"/>
  <c r="T41" i="1"/>
  <c r="N37" i="1"/>
  <c r="P42" i="1"/>
  <c r="Q42" i="1"/>
  <c r="R42" i="1"/>
  <c r="S42" i="1"/>
  <c r="T42" i="1"/>
  <c r="U42" i="1"/>
  <c r="V42" i="1"/>
  <c r="W42" i="1"/>
  <c r="X42" i="1"/>
  <c r="Y42" i="1"/>
  <c r="Z42" i="1"/>
  <c r="AA42" i="1"/>
  <c r="O42" i="1"/>
  <c r="O41" i="1"/>
  <c r="O24" i="1" s="1"/>
  <c r="P41" i="1"/>
  <c r="P24" i="1" s="1"/>
  <c r="Q41" i="1"/>
  <c r="Q24" i="1" s="1"/>
  <c r="R41" i="1"/>
  <c r="R24" i="1" s="1"/>
  <c r="V41" i="1"/>
  <c r="V24" i="1" s="1"/>
  <c r="W41" i="1"/>
  <c r="W24" i="1" s="1"/>
  <c r="X41" i="1"/>
  <c r="Y41" i="1"/>
  <c r="Y24" i="1" s="1"/>
  <c r="AA41" i="1"/>
  <c r="AA24" i="1" s="1"/>
  <c r="AB41" i="1"/>
  <c r="B32" i="1"/>
  <c r="N26" i="1"/>
  <c r="B26" i="1" s="1"/>
  <c r="D17" i="1"/>
  <c r="D19" i="1" s="1"/>
  <c r="E22" i="1" s="1"/>
  <c r="N17" i="1"/>
  <c r="H54" i="7"/>
  <c r="M53" i="6"/>
  <c r="B80" i="1"/>
  <c r="G4" i="6"/>
  <c r="P47" i="5"/>
  <c r="P46" i="5"/>
  <c r="G48" i="6"/>
  <c r="I48" i="6" s="1"/>
  <c r="K48" i="6" s="1"/>
  <c r="I49" i="6"/>
  <c r="K49" i="6" s="1"/>
  <c r="G13" i="6"/>
  <c r="I13" i="6" s="1"/>
  <c r="K13" i="6" s="1"/>
  <c r="P110" i="5"/>
  <c r="P4" i="5"/>
  <c r="P31" i="5"/>
  <c r="I4" i="5"/>
  <c r="P63" i="5"/>
  <c r="I63" i="5"/>
  <c r="P62" i="5"/>
  <c r="I62" i="5"/>
  <c r="P45" i="5"/>
  <c r="I45" i="5"/>
  <c r="P44" i="5"/>
  <c r="I44" i="5"/>
  <c r="I31" i="5"/>
  <c r="P30" i="5"/>
  <c r="I30" i="5"/>
  <c r="N7" i="2"/>
  <c r="N48" i="2"/>
  <c r="N6" i="2"/>
  <c r="L18" i="2"/>
  <c r="H18" i="2"/>
  <c r="L39" i="2"/>
  <c r="H39" i="2"/>
  <c r="C43" i="1"/>
  <c r="D43" i="1"/>
  <c r="E43" i="1"/>
  <c r="F43" i="1"/>
  <c r="G43" i="1"/>
  <c r="H43" i="1"/>
  <c r="H44" i="1" s="1"/>
  <c r="I43" i="1"/>
  <c r="J43" i="1"/>
  <c r="K43" i="1"/>
  <c r="L43" i="1"/>
  <c r="M43" i="1"/>
  <c r="N36" i="1"/>
  <c r="B36" i="1" s="1"/>
  <c r="B16" i="10" s="1"/>
  <c r="N38" i="1"/>
  <c r="B38" i="1" s="1"/>
  <c r="B15" i="10" s="1"/>
  <c r="B28" i="1"/>
  <c r="N31" i="1"/>
  <c r="B31" i="1" s="1"/>
  <c r="N49" i="2"/>
  <c r="N17" i="2"/>
  <c r="N44" i="2"/>
  <c r="P33" i="5"/>
  <c r="P32" i="5"/>
  <c r="P22" i="5"/>
  <c r="P23" i="5"/>
  <c r="K59" i="2"/>
  <c r="L59" i="2" s="1"/>
  <c r="H59" i="2"/>
  <c r="L24" i="2"/>
  <c r="G54" i="7"/>
  <c r="G23" i="6"/>
  <c r="I23" i="6" s="1"/>
  <c r="K23" i="6" s="1"/>
  <c r="I109" i="5"/>
  <c r="I110" i="5"/>
  <c r="F45" i="9"/>
  <c r="F2" i="9"/>
  <c r="I5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2" i="5"/>
  <c r="I33" i="5"/>
  <c r="I38" i="5"/>
  <c r="I39" i="5"/>
  <c r="I40" i="5"/>
  <c r="I41" i="5"/>
  <c r="I42" i="5"/>
  <c r="I43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4" i="5"/>
  <c r="I65" i="5"/>
  <c r="I66" i="5"/>
  <c r="I67" i="5"/>
  <c r="I68" i="5"/>
  <c r="I69" i="5"/>
  <c r="I70" i="5"/>
  <c r="I71" i="5"/>
  <c r="I74" i="5"/>
  <c r="I75" i="5"/>
  <c r="I76" i="5"/>
  <c r="I77" i="5"/>
  <c r="I78" i="5"/>
  <c r="I79" i="5"/>
  <c r="I85" i="5"/>
  <c r="I86" i="5"/>
  <c r="G25" i="6"/>
  <c r="I25" i="6" s="1"/>
  <c r="K25" i="6" s="1"/>
  <c r="G39" i="6"/>
  <c r="I39" i="6" s="1"/>
  <c r="K39" i="6" s="1"/>
  <c r="G11" i="6"/>
  <c r="I11" i="6" s="1"/>
  <c r="K11" i="6" s="1"/>
  <c r="H38" i="2"/>
  <c r="L38" i="2"/>
  <c r="P28" i="5"/>
  <c r="P29" i="5"/>
  <c r="P27" i="5"/>
  <c r="Q27" i="5"/>
  <c r="Q28" i="5"/>
  <c r="Q26" i="5"/>
  <c r="Q29" i="5"/>
  <c r="R29" i="5" s="1"/>
  <c r="P9" i="5"/>
  <c r="P8" i="5"/>
  <c r="P38" i="5"/>
  <c r="P39" i="5"/>
  <c r="P26" i="5"/>
  <c r="P42" i="5"/>
  <c r="P43" i="5"/>
  <c r="P85" i="5"/>
  <c r="S85" i="5" s="1"/>
  <c r="P86" i="5"/>
  <c r="P13" i="5"/>
  <c r="P12" i="5"/>
  <c r="P49" i="5"/>
  <c r="P55" i="5"/>
  <c r="P65" i="5"/>
  <c r="G24" i="6"/>
  <c r="I24" i="6" s="1"/>
  <c r="K24" i="6" s="1"/>
  <c r="G37" i="6"/>
  <c r="I37" i="6" s="1"/>
  <c r="K37" i="6" s="1"/>
  <c r="G47" i="6"/>
  <c r="I47" i="6" s="1"/>
  <c r="K47" i="6" s="1"/>
  <c r="G20" i="6"/>
  <c r="G18" i="6"/>
  <c r="I18" i="6" s="1"/>
  <c r="K18" i="6" s="1"/>
  <c r="G17" i="6"/>
  <c r="I17" i="6" s="1"/>
  <c r="K17" i="6" s="1"/>
  <c r="G43" i="6"/>
  <c r="I43" i="6" s="1"/>
  <c r="K43" i="6" s="1"/>
  <c r="G42" i="6"/>
  <c r="I42" i="6" s="1"/>
  <c r="K42" i="6" s="1"/>
  <c r="G7" i="6"/>
  <c r="I7" i="6" s="1"/>
  <c r="K7" i="6" s="1"/>
  <c r="L35" i="2"/>
  <c r="L47" i="2"/>
  <c r="L7" i="2"/>
  <c r="H7" i="2"/>
  <c r="L6" i="2"/>
  <c r="H6" i="2"/>
  <c r="H10" i="2"/>
  <c r="H48" i="2"/>
  <c r="H40" i="2"/>
  <c r="H49" i="2"/>
  <c r="H36" i="2"/>
  <c r="H50" i="2"/>
  <c r="H37" i="2"/>
  <c r="H41" i="2"/>
  <c r="H8" i="2"/>
  <c r="H42" i="2"/>
  <c r="H43" i="2"/>
  <c r="H51" i="2"/>
  <c r="H13" i="2"/>
  <c r="H16" i="2"/>
  <c r="H44" i="2"/>
  <c r="H17" i="2"/>
  <c r="H45" i="2"/>
  <c r="H46" i="2"/>
  <c r="H19" i="2"/>
  <c r="H47" i="2"/>
  <c r="H20" i="2"/>
  <c r="H21" i="2"/>
  <c r="H9" i="2"/>
  <c r="H22" i="2"/>
  <c r="H23" i="2"/>
  <c r="H25" i="2"/>
  <c r="H24" i="2"/>
  <c r="O24" i="2" s="1"/>
  <c r="H5" i="2"/>
  <c r="O5" i="2" s="1"/>
  <c r="L16" i="2"/>
  <c r="L19" i="2"/>
  <c r="L42" i="2"/>
  <c r="L43" i="2"/>
  <c r="P5" i="5"/>
  <c r="S5" i="5" s="1"/>
  <c r="P10" i="5"/>
  <c r="P11" i="5"/>
  <c r="P14" i="5"/>
  <c r="P15" i="5"/>
  <c r="P16" i="5"/>
  <c r="P17" i="5"/>
  <c r="P20" i="5"/>
  <c r="P21" i="5"/>
  <c r="P24" i="5"/>
  <c r="P25" i="5"/>
  <c r="P40" i="5"/>
  <c r="P41" i="5"/>
  <c r="P48" i="5"/>
  <c r="P50" i="5"/>
  <c r="P51" i="5"/>
  <c r="P52" i="5"/>
  <c r="P53" i="5"/>
  <c r="P54" i="5"/>
  <c r="P56" i="5"/>
  <c r="P57" i="5"/>
  <c r="P58" i="5"/>
  <c r="P59" i="5"/>
  <c r="P60" i="5"/>
  <c r="P61" i="5"/>
  <c r="P64" i="5"/>
  <c r="P66" i="5"/>
  <c r="P67" i="5"/>
  <c r="P68" i="5"/>
  <c r="P69" i="5"/>
  <c r="P70" i="5"/>
  <c r="P71" i="5"/>
  <c r="P74" i="5"/>
  <c r="P75" i="5"/>
  <c r="P76" i="5"/>
  <c r="P77" i="5"/>
  <c r="P78" i="5"/>
  <c r="P79" i="5"/>
  <c r="M53" i="8"/>
  <c r="Q53" i="8" s="1"/>
  <c r="J48" i="8"/>
  <c r="L48" i="8"/>
  <c r="I46" i="8"/>
  <c r="J31" i="8"/>
  <c r="L31" i="8"/>
  <c r="I32" i="8"/>
  <c r="J32" i="8" s="1"/>
  <c r="J28" i="8"/>
  <c r="L28" i="8"/>
  <c r="I16" i="8"/>
  <c r="G12" i="6"/>
  <c r="I12" i="6" s="1"/>
  <c r="K12" i="6" s="1"/>
  <c r="G36" i="6"/>
  <c r="I36" i="6" s="1"/>
  <c r="K36" i="6" s="1"/>
  <c r="G8" i="6"/>
  <c r="I8" i="6" s="1"/>
  <c r="K8" i="6" s="1"/>
  <c r="G50" i="6"/>
  <c r="I50" i="6" s="1"/>
  <c r="K50" i="6" s="1"/>
  <c r="G38" i="6"/>
  <c r="I38" i="6" s="1"/>
  <c r="K38" i="6" s="1"/>
  <c r="G51" i="6"/>
  <c r="I51" i="6" s="1"/>
  <c r="K51" i="6" s="1"/>
  <c r="G40" i="6"/>
  <c r="I40" i="6" s="1"/>
  <c r="G9" i="6"/>
  <c r="I9" i="6" s="1"/>
  <c r="K9" i="6" s="1"/>
  <c r="G41" i="6"/>
  <c r="I41" i="6" s="1"/>
  <c r="K41" i="6" s="1"/>
  <c r="G52" i="6"/>
  <c r="G44" i="6"/>
  <c r="I44" i="6" s="1"/>
  <c r="K44" i="6" s="1"/>
  <c r="G19" i="6"/>
  <c r="I19" i="6" s="1"/>
  <c r="K19" i="6" s="1"/>
  <c r="G45" i="6"/>
  <c r="I45" i="6" s="1"/>
  <c r="K45" i="6" s="1"/>
  <c r="G46" i="6"/>
  <c r="I46" i="6" s="1"/>
  <c r="K46" i="6" s="1"/>
  <c r="G21" i="6"/>
  <c r="I21" i="6" s="1"/>
  <c r="K21" i="6" s="1"/>
  <c r="G10" i="6"/>
  <c r="I10" i="6" s="1"/>
  <c r="K10" i="6" s="1"/>
  <c r="G22" i="6"/>
  <c r="I22" i="6" s="1"/>
  <c r="K22" i="6" s="1"/>
  <c r="G26" i="6"/>
  <c r="I26" i="6" s="1"/>
  <c r="K26" i="6" s="1"/>
  <c r="P18" i="5"/>
  <c r="P19" i="5"/>
  <c r="L10" i="2"/>
  <c r="O10" i="2" s="1"/>
  <c r="L48" i="2"/>
  <c r="L49" i="2"/>
  <c r="L36" i="2"/>
  <c r="L50" i="2"/>
  <c r="L37" i="2"/>
  <c r="L41" i="2"/>
  <c r="L8" i="2"/>
  <c r="L51" i="2"/>
  <c r="L13" i="2"/>
  <c r="O13" i="2" s="1"/>
  <c r="L17" i="2"/>
  <c r="L45" i="2"/>
  <c r="L46" i="2"/>
  <c r="L20" i="2"/>
  <c r="L21" i="2"/>
  <c r="L9" i="2"/>
  <c r="L22" i="2"/>
  <c r="L23" i="2"/>
  <c r="N30" i="1"/>
  <c r="B30" i="1" s="1"/>
  <c r="N34" i="1"/>
  <c r="B34" i="1" s="1"/>
  <c r="N35" i="1"/>
  <c r="B35" i="1" s="1"/>
  <c r="B14" i="10" s="1"/>
  <c r="N29" i="1"/>
  <c r="B29" i="1" s="1"/>
  <c r="R43" i="1"/>
  <c r="T43" i="1"/>
  <c r="U43" i="1"/>
  <c r="V43" i="1"/>
  <c r="W43" i="1"/>
  <c r="X43" i="1"/>
  <c r="Y43" i="1"/>
  <c r="Y44" i="1" s="1"/>
  <c r="AA43" i="1"/>
  <c r="Q43" i="1"/>
  <c r="P43" i="1"/>
  <c r="O43" i="1"/>
  <c r="G55" i="8"/>
  <c r="F55" i="8"/>
  <c r="L53" i="8"/>
  <c r="L52" i="8"/>
  <c r="L54" i="8" s="1"/>
  <c r="L49" i="8"/>
  <c r="J47" i="8"/>
  <c r="L45" i="8"/>
  <c r="L43" i="8"/>
  <c r="J40" i="8"/>
  <c r="L37" i="8"/>
  <c r="L35" i="8"/>
  <c r="L30" i="8"/>
  <c r="L29" i="8"/>
  <c r="L27" i="8"/>
  <c r="L26" i="8"/>
  <c r="L25" i="8"/>
  <c r="L23" i="8"/>
  <c r="L21" i="8"/>
  <c r="I18" i="8"/>
  <c r="J18" i="8" s="1"/>
  <c r="L15" i="8"/>
  <c r="L13" i="8"/>
  <c r="L12" i="8"/>
  <c r="L8" i="8"/>
  <c r="L7" i="8"/>
  <c r="G16" i="6"/>
  <c r="I16" i="6" s="1"/>
  <c r="K16" i="6" s="1"/>
  <c r="E62" i="7"/>
  <c r="E66" i="7"/>
  <c r="D70" i="6"/>
  <c r="L20" i="8"/>
  <c r="J20" i="8"/>
  <c r="L34" i="8"/>
  <c r="J34" i="8"/>
  <c r="J51" i="8"/>
  <c r="L51" i="8"/>
  <c r="L47" i="8"/>
  <c r="J38" i="8"/>
  <c r="L38" i="8"/>
  <c r="J44" i="8"/>
  <c r="K44" i="8" s="1"/>
  <c r="L44" i="8"/>
  <c r="H55" i="8"/>
  <c r="J7" i="8"/>
  <c r="J12" i="8"/>
  <c r="J30" i="8"/>
  <c r="J27" i="8"/>
  <c r="J25" i="8"/>
  <c r="J23" i="8"/>
  <c r="J21" i="8"/>
  <c r="J16" i="8"/>
  <c r="J49" i="8"/>
  <c r="J45" i="8"/>
  <c r="J43" i="8"/>
  <c r="J37" i="8"/>
  <c r="K37" i="8" s="1"/>
  <c r="J35" i="8"/>
  <c r="L40" i="8"/>
  <c r="J8" i="8"/>
  <c r="J29" i="8"/>
  <c r="J26" i="8"/>
  <c r="K26" i="8" s="1"/>
  <c r="J15" i="8"/>
  <c r="J13" i="8"/>
  <c r="M5" i="8"/>
  <c r="P5" i="8" s="1"/>
  <c r="J52" i="8"/>
  <c r="L5" i="8"/>
  <c r="L6" i="8" s="1"/>
  <c r="J5" i="8"/>
  <c r="J6" i="8" s="1"/>
  <c r="L10" i="8"/>
  <c r="J10" i="8"/>
  <c r="L19" i="8"/>
  <c r="J19" i="8"/>
  <c r="L22" i="8"/>
  <c r="J22" i="8"/>
  <c r="J24" i="8"/>
  <c r="L24" i="8"/>
  <c r="L39" i="8"/>
  <c r="J39" i="8"/>
  <c r="J53" i="8"/>
  <c r="K53" i="8" s="1"/>
  <c r="L9" i="8"/>
  <c r="M10" i="8"/>
  <c r="Q10" i="8" s="1"/>
  <c r="J9" i="8"/>
  <c r="J17" i="8"/>
  <c r="J36" i="8"/>
  <c r="L36" i="8"/>
  <c r="L41" i="8"/>
  <c r="J41" i="8"/>
  <c r="J42" i="8"/>
  <c r="L42" i="8"/>
  <c r="L17" i="8"/>
  <c r="J14" i="8"/>
  <c r="L14" i="8"/>
  <c r="L16" i="8"/>
  <c r="D66" i="6"/>
  <c r="J46" i="8"/>
  <c r="L25" i="2"/>
  <c r="F54" i="7"/>
  <c r="P53" i="8"/>
  <c r="N39" i="1"/>
  <c r="B39" i="1" s="1"/>
  <c r="P109" i="5"/>
  <c r="J54" i="7"/>
  <c r="L44" i="2"/>
  <c r="N27" i="1"/>
  <c r="T24" i="1"/>
  <c r="N33" i="1"/>
  <c r="B33" i="1" s="1"/>
  <c r="B13" i="10" s="1"/>
  <c r="L40" i="2"/>
  <c r="L18" i="8"/>
  <c r="O59" i="2"/>
  <c r="R13" i="5"/>
  <c r="S12" i="5"/>
  <c r="P37" i="5"/>
  <c r="K17" i="8" l="1"/>
  <c r="K9" i="8"/>
  <c r="S29" i="5"/>
  <c r="K12" i="8"/>
  <c r="O7" i="2"/>
  <c r="O11" i="2"/>
  <c r="Q105" i="5"/>
  <c r="S110" i="5"/>
  <c r="N55" i="2"/>
  <c r="O6" i="2"/>
  <c r="B12" i="10"/>
  <c r="B95" i="1"/>
  <c r="B97" i="1" s="1"/>
  <c r="B56" i="1" s="1"/>
  <c r="O37" i="2"/>
  <c r="I105" i="5"/>
  <c r="O4" i="2"/>
  <c r="H55" i="2"/>
  <c r="O12" i="2"/>
  <c r="L55" i="2"/>
  <c r="K24" i="8"/>
  <c r="I4" i="6"/>
  <c r="K4" i="6" s="1"/>
  <c r="B27" i="1"/>
  <c r="N41" i="1"/>
  <c r="K29" i="8"/>
  <c r="I5" i="6"/>
  <c r="K5" i="6" s="1"/>
  <c r="R85" i="5"/>
  <c r="R53" i="5"/>
  <c r="P10" i="8"/>
  <c r="S72" i="5"/>
  <c r="R89" i="5"/>
  <c r="K20" i="8"/>
  <c r="R26" i="5"/>
  <c r="K40" i="6"/>
  <c r="K42" i="8"/>
  <c r="K39" i="8"/>
  <c r="K43" i="8"/>
  <c r="K30" i="8"/>
  <c r="S86" i="5"/>
  <c r="S24" i="5"/>
  <c r="O28" i="2"/>
  <c r="S37" i="5"/>
  <c r="R37" i="5"/>
  <c r="I55" i="8"/>
  <c r="R27" i="5"/>
  <c r="K40" i="8"/>
  <c r="O14" i="2"/>
  <c r="S28" i="5"/>
  <c r="R57" i="5"/>
  <c r="R33" i="5"/>
  <c r="S26" i="5"/>
  <c r="S43" i="5"/>
  <c r="R86" i="5"/>
  <c r="R28" i="5"/>
  <c r="S27" i="5"/>
  <c r="R76" i="5"/>
  <c r="R67" i="5"/>
  <c r="S75" i="5"/>
  <c r="R12" i="5"/>
  <c r="R6" i="5"/>
  <c r="R83" i="5"/>
  <c r="R30" i="5"/>
  <c r="S55" i="5"/>
  <c r="S41" i="5"/>
  <c r="S79" i="5"/>
  <c r="S77" i="5"/>
  <c r="R31" i="5"/>
  <c r="R44" i="5"/>
  <c r="R62" i="5"/>
  <c r="S80" i="5"/>
  <c r="R71" i="5"/>
  <c r="R55" i="5"/>
  <c r="R4" i="5"/>
  <c r="S88" i="5"/>
  <c r="R35" i="5"/>
  <c r="R5" i="5"/>
  <c r="S18" i="5"/>
  <c r="S89" i="5"/>
  <c r="R61" i="5"/>
  <c r="R24" i="5"/>
  <c r="R65" i="5"/>
  <c r="S70" i="5"/>
  <c r="R66" i="5"/>
  <c r="S60" i="5"/>
  <c r="S56" i="5"/>
  <c r="R17" i="5"/>
  <c r="S30" i="5"/>
  <c r="S51" i="5"/>
  <c r="R20" i="5"/>
  <c r="R14" i="5"/>
  <c r="S68" i="5"/>
  <c r="S48" i="5"/>
  <c r="R42" i="5"/>
  <c r="S23" i="5"/>
  <c r="S19" i="5"/>
  <c r="R11" i="5"/>
  <c r="R15" i="5"/>
  <c r="S35" i="5"/>
  <c r="S65" i="5"/>
  <c r="R56" i="5"/>
  <c r="S78" i="5"/>
  <c r="S74" i="5"/>
  <c r="S54" i="5"/>
  <c r="R40" i="5"/>
  <c r="R22" i="5"/>
  <c r="R18" i="5"/>
  <c r="S14" i="5"/>
  <c r="S10" i="5"/>
  <c r="S45" i="5"/>
  <c r="R46" i="5"/>
  <c r="R59" i="5"/>
  <c r="S64" i="5"/>
  <c r="R72" i="5"/>
  <c r="S76" i="5"/>
  <c r="R70" i="5"/>
  <c r="S66" i="5"/>
  <c r="R60" i="5"/>
  <c r="S9" i="5"/>
  <c r="R77" i="5"/>
  <c r="S71" i="5"/>
  <c r="S67" i="5"/>
  <c r="S61" i="5"/>
  <c r="S57" i="5"/>
  <c r="S47" i="5"/>
  <c r="R41" i="5"/>
  <c r="S33" i="5"/>
  <c r="O9" i="2"/>
  <c r="R23" i="5"/>
  <c r="S15" i="5"/>
  <c r="S11" i="5"/>
  <c r="S42" i="5"/>
  <c r="K27" i="8"/>
  <c r="K5" i="8"/>
  <c r="K6" i="8" s="1"/>
  <c r="S44" i="5"/>
  <c r="R87" i="5"/>
  <c r="S83" i="5"/>
  <c r="R19" i="5"/>
  <c r="S40" i="5"/>
  <c r="J54" i="8"/>
  <c r="K21" i="8"/>
  <c r="K38" i="8"/>
  <c r="L11" i="8"/>
  <c r="V44" i="1"/>
  <c r="K31" i="8"/>
  <c r="S46" i="5"/>
  <c r="S32" i="5"/>
  <c r="R21" i="5"/>
  <c r="S109" i="5"/>
  <c r="K29" i="6"/>
  <c r="P34" i="5"/>
  <c r="R34" i="5" s="1"/>
  <c r="K16" i="8"/>
  <c r="R80" i="5"/>
  <c r="S73" i="5"/>
  <c r="R48" i="5"/>
  <c r="S36" i="5"/>
  <c r="S92" i="5"/>
  <c r="K19" i="8"/>
  <c r="K23" i="8"/>
  <c r="K8" i="8"/>
  <c r="K18" i="8"/>
  <c r="K45" i="8"/>
  <c r="K28" i="8"/>
  <c r="S59" i="5"/>
  <c r="S53" i="5"/>
  <c r="R43" i="5"/>
  <c r="S20" i="5"/>
  <c r="S16" i="5"/>
  <c r="R45" i="5"/>
  <c r="S91" i="5"/>
  <c r="X44" i="1"/>
  <c r="O44" i="1"/>
  <c r="P44" i="1"/>
  <c r="X24" i="1"/>
  <c r="Q44" i="1"/>
  <c r="U44" i="1"/>
  <c r="AA44" i="1"/>
  <c r="N42" i="1"/>
  <c r="T44" i="1"/>
  <c r="R44" i="1"/>
  <c r="C65" i="7"/>
  <c r="I20" i="6"/>
  <c r="K20" i="6" s="1"/>
  <c r="O45" i="2"/>
  <c r="O38" i="2"/>
  <c r="O22" i="2"/>
  <c r="O36" i="2"/>
  <c r="O43" i="2"/>
  <c r="O16" i="2"/>
  <c r="O49" i="2"/>
  <c r="O17" i="2"/>
  <c r="O41" i="2"/>
  <c r="O18" i="2"/>
  <c r="I52" i="6"/>
  <c r="K52" i="6" s="1"/>
  <c r="O25" i="2"/>
  <c r="O20" i="2"/>
  <c r="O35" i="2"/>
  <c r="O21" i="2"/>
  <c r="S62" i="5"/>
  <c r="R47" i="5"/>
  <c r="R88" i="5"/>
  <c r="O19" i="2"/>
  <c r="O44" i="2"/>
  <c r="O8" i="2"/>
  <c r="O40" i="2"/>
  <c r="O47" i="2"/>
  <c r="O50" i="2"/>
  <c r="O42" i="2"/>
  <c r="O51" i="2"/>
  <c r="R51" i="5"/>
  <c r="R78" i="5"/>
  <c r="S43" i="1"/>
  <c r="R91" i="5"/>
  <c r="K22" i="8"/>
  <c r="K15" i="8"/>
  <c r="J11" i="8"/>
  <c r="K49" i="8"/>
  <c r="K25" i="8"/>
  <c r="K47" i="8"/>
  <c r="M49" i="8"/>
  <c r="L46" i="8"/>
  <c r="K46" i="8" s="1"/>
  <c r="R79" i="5"/>
  <c r="R75" i="5"/>
  <c r="S21" i="5"/>
  <c r="R16" i="5"/>
  <c r="R74" i="5"/>
  <c r="R64" i="5"/>
  <c r="R58" i="5"/>
  <c r="S58" i="5"/>
  <c r="S52" i="5"/>
  <c r="R52" i="5"/>
  <c r="R38" i="5"/>
  <c r="S38" i="5"/>
  <c r="D56" i="1"/>
  <c r="S31" i="5"/>
  <c r="S84" i="5"/>
  <c r="R84" i="5"/>
  <c r="R73" i="5"/>
  <c r="S90" i="5"/>
  <c r="R90" i="5"/>
  <c r="R81" i="5"/>
  <c r="S81" i="5"/>
  <c r="R54" i="5"/>
  <c r="L32" i="8"/>
  <c r="K32" i="8" s="1"/>
  <c r="K35" i="8"/>
  <c r="R50" i="5"/>
  <c r="S50" i="5"/>
  <c r="R25" i="5"/>
  <c r="S25" i="5"/>
  <c r="S17" i="5"/>
  <c r="S13" i="5"/>
  <c r="R9" i="5"/>
  <c r="Z41" i="1"/>
  <c r="Z24" i="1" s="1"/>
  <c r="Z43" i="1"/>
  <c r="W44" i="1"/>
  <c r="S41" i="1"/>
  <c r="L50" i="8"/>
  <c r="M32" i="8"/>
  <c r="Q32" i="8" s="1"/>
  <c r="I54" i="8"/>
  <c r="I64" i="8"/>
  <c r="S69" i="5"/>
  <c r="R69" i="5"/>
  <c r="R49" i="5"/>
  <c r="S49" i="5"/>
  <c r="R39" i="5"/>
  <c r="S39" i="5"/>
  <c r="S8" i="5"/>
  <c r="R8" i="5"/>
  <c r="R63" i="5"/>
  <c r="S63" i="5"/>
  <c r="S4" i="5"/>
  <c r="I54" i="7"/>
  <c r="K41" i="8"/>
  <c r="K10" i="8"/>
  <c r="J33" i="8"/>
  <c r="O23" i="2"/>
  <c r="O48" i="2"/>
  <c r="S22" i="5"/>
  <c r="R10" i="5"/>
  <c r="O27" i="2"/>
  <c r="S7" i="5"/>
  <c r="S87" i="5"/>
  <c r="R36" i="5"/>
  <c r="R109" i="5"/>
  <c r="K14" i="8"/>
  <c r="K36" i="8"/>
  <c r="K7" i="8"/>
  <c r="K51" i="8"/>
  <c r="K48" i="8"/>
  <c r="R68" i="5"/>
  <c r="R110" i="5"/>
  <c r="R92" i="5"/>
  <c r="S6" i="5"/>
  <c r="O46" i="2"/>
  <c r="B37" i="1"/>
  <c r="B43" i="1" s="1"/>
  <c r="N43" i="1"/>
  <c r="O29" i="2"/>
  <c r="O39" i="2"/>
  <c r="K34" i="8"/>
  <c r="J50" i="8"/>
  <c r="Q5" i="8"/>
  <c r="K13" i="8"/>
  <c r="K52" i="8"/>
  <c r="K54" i="8" s="1"/>
  <c r="R32" i="5"/>
  <c r="R7" i="5"/>
  <c r="O55" i="2" l="1"/>
  <c r="B41" i="1"/>
  <c r="P105" i="5"/>
  <c r="R105" i="5"/>
  <c r="C61" i="7"/>
  <c r="E61" i="7" s="1"/>
  <c r="E63" i="7" s="1"/>
  <c r="C72" i="7" s="1"/>
  <c r="N44" i="1"/>
  <c r="S34" i="5"/>
  <c r="S105" i="5" s="1"/>
  <c r="K11" i="8"/>
  <c r="P32" i="8"/>
  <c r="J56" i="8"/>
  <c r="K53" i="6"/>
  <c r="E65" i="7"/>
  <c r="E67" i="7" s="1"/>
  <c r="C73" i="7" s="1"/>
  <c r="C67" i="7"/>
  <c r="L33" i="8"/>
  <c r="L56" i="8" s="1"/>
  <c r="Z44" i="1"/>
  <c r="B81" i="1"/>
  <c r="K54" i="7"/>
  <c r="C60" i="7" s="1"/>
  <c r="K50" i="8"/>
  <c r="K33" i="8"/>
  <c r="S44" i="1"/>
  <c r="S24" i="1"/>
  <c r="AB24" i="1" s="1"/>
  <c r="P49" i="8"/>
  <c r="Q49" i="8"/>
  <c r="B42" i="1"/>
  <c r="K56" i="8" l="1"/>
  <c r="C71" i="7"/>
  <c r="C74" i="7" s="1"/>
  <c r="C69" i="7"/>
  <c r="D47" i="1"/>
  <c r="B44" i="1"/>
  <c r="D55" i="1"/>
  <c r="D57" i="1" l="1"/>
  <c r="D70" i="1" s="1"/>
  <c r="D72" i="1" l="1"/>
  <c r="B64" i="1" s="1"/>
  <c r="F107" i="5" s="1"/>
  <c r="D107" i="5" s="1"/>
  <c r="D59" i="1"/>
  <c r="D71" i="1"/>
  <c r="B65" i="1" s="1"/>
  <c r="B66" i="1"/>
  <c r="B61" i="1" l="1"/>
  <c r="B28" i="10"/>
  <c r="T102" i="5"/>
  <c r="W102" i="5" s="1"/>
  <c r="U101" i="5"/>
  <c r="U102" i="5"/>
  <c r="T101" i="5"/>
  <c r="W101" i="5" s="1"/>
  <c r="T100" i="5"/>
  <c r="W100" i="5" s="1"/>
  <c r="U99" i="5"/>
  <c r="T99" i="5"/>
  <c r="W99" i="5" s="1"/>
  <c r="U100" i="5"/>
  <c r="T98" i="5"/>
  <c r="W98" i="5" s="1"/>
  <c r="U97" i="5"/>
  <c r="U98" i="5"/>
  <c r="T97" i="5"/>
  <c r="W97" i="5" s="1"/>
  <c r="T95" i="5"/>
  <c r="W95" i="5" s="1"/>
  <c r="U96" i="5"/>
  <c r="T96" i="5"/>
  <c r="W96" i="5" s="1"/>
  <c r="U95" i="5"/>
  <c r="T81" i="5"/>
  <c r="W81" i="5" s="1"/>
  <c r="T93" i="5"/>
  <c r="W93" i="5" s="1"/>
  <c r="U94" i="5"/>
  <c r="T94" i="5"/>
  <c r="W94" i="5" s="1"/>
  <c r="U93" i="5"/>
  <c r="U4" i="5"/>
  <c r="U85" i="5"/>
  <c r="U6" i="5"/>
  <c r="U13" i="5"/>
  <c r="U66" i="5"/>
  <c r="U9" i="5"/>
  <c r="U22" i="5"/>
  <c r="T79" i="5"/>
  <c r="W79" i="5" s="1"/>
  <c r="T28" i="5"/>
  <c r="W28" i="5" s="1"/>
  <c r="T57" i="5"/>
  <c r="W57" i="5" s="1"/>
  <c r="U27" i="5"/>
  <c r="T11" i="5"/>
  <c r="W11" i="5" s="1"/>
  <c r="U12" i="5"/>
  <c r="U92" i="5"/>
  <c r="U56" i="5"/>
  <c r="U26" i="5"/>
  <c r="U38" i="5"/>
  <c r="T26" i="5"/>
  <c r="W26" i="5" s="1"/>
  <c r="U11" i="5"/>
  <c r="T12" i="5"/>
  <c r="W12" i="5" s="1"/>
  <c r="T30" i="5"/>
  <c r="W30" i="5" s="1"/>
  <c r="U45" i="5"/>
  <c r="U21" i="5"/>
  <c r="T52" i="5"/>
  <c r="W52" i="5" s="1"/>
  <c r="U42" i="5"/>
  <c r="U7" i="5"/>
  <c r="U14" i="5"/>
  <c r="T64" i="5"/>
  <c r="W64" i="5" s="1"/>
  <c r="T63" i="5"/>
  <c r="W63" i="5" s="1"/>
  <c r="U48" i="5"/>
  <c r="T15" i="5"/>
  <c r="W15" i="5" s="1"/>
  <c r="U76" i="5"/>
  <c r="U28" i="5"/>
  <c r="T80" i="5"/>
  <c r="W80" i="5" s="1"/>
  <c r="U71" i="5"/>
  <c r="T48" i="5"/>
  <c r="W48" i="5" s="1"/>
  <c r="T66" i="5"/>
  <c r="W66" i="5" s="1"/>
  <c r="T60" i="5"/>
  <c r="W60" i="5" s="1"/>
  <c r="U30" i="5"/>
  <c r="U87" i="5"/>
  <c r="U25" i="5"/>
  <c r="U64" i="5"/>
  <c r="T7" i="5"/>
  <c r="W7" i="5" s="1"/>
  <c r="T50" i="5"/>
  <c r="W50" i="5" s="1"/>
  <c r="U88" i="5"/>
  <c r="T73" i="5"/>
  <c r="W73" i="5" s="1"/>
  <c r="T23" i="5"/>
  <c r="W23" i="5" s="1"/>
  <c r="T69" i="5"/>
  <c r="W69" i="5" s="1"/>
  <c r="U5" i="5"/>
  <c r="T34" i="5"/>
  <c r="W34" i="5" s="1"/>
  <c r="U73" i="5"/>
  <c r="U32" i="5"/>
  <c r="U8" i="5"/>
  <c r="U16" i="5"/>
  <c r="T53" i="5"/>
  <c r="W53" i="5" s="1"/>
  <c r="T65" i="5"/>
  <c r="W65" i="5" s="1"/>
  <c r="T86" i="5"/>
  <c r="W86" i="5" s="1"/>
  <c r="T74" i="5"/>
  <c r="W74" i="5" s="1"/>
  <c r="T82" i="5"/>
  <c r="W82" i="5" s="1"/>
  <c r="U59" i="5"/>
  <c r="U109" i="5"/>
  <c r="X109" i="5" s="1"/>
  <c r="T77" i="5"/>
  <c r="W77" i="5" s="1"/>
  <c r="T19" i="5"/>
  <c r="W19" i="5" s="1"/>
  <c r="T32" i="5"/>
  <c r="W32" i="5" s="1"/>
  <c r="T47" i="5"/>
  <c r="W47" i="5" s="1"/>
  <c r="U39" i="5"/>
  <c r="U37" i="5"/>
  <c r="U43" i="5"/>
  <c r="T61" i="5"/>
  <c r="W61" i="5" s="1"/>
  <c r="T49" i="5"/>
  <c r="W49" i="5" s="1"/>
  <c r="T35" i="5"/>
  <c r="W35" i="5" s="1"/>
  <c r="U50" i="5"/>
  <c r="U24" i="5"/>
  <c r="U81" i="5"/>
  <c r="U82" i="5"/>
  <c r="T76" i="5"/>
  <c r="W76" i="5" s="1"/>
  <c r="T92" i="5"/>
  <c r="W92" i="5" s="1"/>
  <c r="T39" i="5"/>
  <c r="W39" i="5" s="1"/>
  <c r="U15" i="5"/>
  <c r="T45" i="5"/>
  <c r="W45" i="5" s="1"/>
  <c r="U52" i="5"/>
  <c r="T91" i="5"/>
  <c r="W91" i="5" s="1"/>
  <c r="T38" i="5"/>
  <c r="W38" i="5" s="1"/>
  <c r="T20" i="5"/>
  <c r="W20" i="5" s="1"/>
  <c r="T51" i="5"/>
  <c r="W51" i="5" s="1"/>
  <c r="U41" i="5"/>
  <c r="T18" i="5"/>
  <c r="W18" i="5" s="1"/>
  <c r="T75" i="5"/>
  <c r="W75" i="5" s="1"/>
  <c r="U110" i="5"/>
  <c r="U49" i="5"/>
  <c r="X49" i="5" s="1"/>
  <c r="T42" i="5"/>
  <c r="W42" i="5" s="1"/>
  <c r="U65" i="5"/>
  <c r="U35" i="5"/>
  <c r="U75" i="5"/>
  <c r="U79" i="5"/>
  <c r="U36" i="5"/>
  <c r="U19" i="5"/>
  <c r="U72" i="5"/>
  <c r="T13" i="5"/>
  <c r="W13" i="5" s="1"/>
  <c r="U58" i="5"/>
  <c r="T90" i="5"/>
  <c r="W90" i="5" s="1"/>
  <c r="U17" i="5"/>
  <c r="U29" i="5"/>
  <c r="U70" i="5"/>
  <c r="T62" i="5"/>
  <c r="W62" i="5" s="1"/>
  <c r="U54" i="5"/>
  <c r="T41" i="5"/>
  <c r="W41" i="5" s="1"/>
  <c r="U80" i="5"/>
  <c r="U34" i="5"/>
  <c r="T17" i="5"/>
  <c r="W17" i="5" s="1"/>
  <c r="U77" i="5"/>
  <c r="T14" i="5"/>
  <c r="W14" i="5" s="1"/>
  <c r="T72" i="5"/>
  <c r="W72" i="5" s="1"/>
  <c r="T16" i="5"/>
  <c r="W16" i="5" s="1"/>
  <c r="T27" i="5"/>
  <c r="W27" i="5" s="1"/>
  <c r="X27" i="5" s="1"/>
  <c r="T83" i="5"/>
  <c r="W83" i="5" s="1"/>
  <c r="T46" i="5"/>
  <c r="W46" i="5" s="1"/>
  <c r="T68" i="5"/>
  <c r="W68" i="5" s="1"/>
  <c r="T85" i="5"/>
  <c r="W85" i="5" s="1"/>
  <c r="T40" i="5"/>
  <c r="W40" i="5" s="1"/>
  <c r="T58" i="5"/>
  <c r="W58" i="5" s="1"/>
  <c r="U63" i="5"/>
  <c r="T78" i="5"/>
  <c r="W78" i="5" s="1"/>
  <c r="T109" i="5"/>
  <c r="T84" i="5"/>
  <c r="W84" i="5" s="1"/>
  <c r="U18" i="5"/>
  <c r="U57" i="5"/>
  <c r="U74" i="5"/>
  <c r="U78" i="5"/>
  <c r="U10" i="5"/>
  <c r="T4" i="5"/>
  <c r="U46" i="5"/>
  <c r="U44" i="5"/>
  <c r="T55" i="5"/>
  <c r="W55" i="5" s="1"/>
  <c r="U62" i="5"/>
  <c r="T56" i="5"/>
  <c r="W56" i="5" s="1"/>
  <c r="T70" i="5"/>
  <c r="W70" i="5" s="1"/>
  <c r="U89" i="5"/>
  <c r="T24" i="5"/>
  <c r="W24" i="5" s="1"/>
  <c r="U91" i="5"/>
  <c r="U40" i="5"/>
  <c r="T8" i="5"/>
  <c r="W8" i="5" s="1"/>
  <c r="U31" i="5"/>
  <c r="U33" i="5"/>
  <c r="U55" i="5"/>
  <c r="T9" i="5"/>
  <c r="W9" i="5" s="1"/>
  <c r="U90" i="5"/>
  <c r="T36" i="5"/>
  <c r="W36" i="5" s="1"/>
  <c r="U51" i="5"/>
  <c r="T43" i="5"/>
  <c r="W43" i="5" s="1"/>
  <c r="U84" i="5"/>
  <c r="U60" i="5"/>
  <c r="T10" i="5"/>
  <c r="W10" i="5" s="1"/>
  <c r="T5" i="5"/>
  <c r="W5" i="5" s="1"/>
  <c r="U47" i="5"/>
  <c r="U23" i="5"/>
  <c r="U69" i="5"/>
  <c r="T44" i="5"/>
  <c r="W44" i="5" s="1"/>
  <c r="T33" i="5"/>
  <c r="W33" i="5" s="1"/>
  <c r="U61" i="5"/>
  <c r="T22" i="5"/>
  <c r="W22" i="5" s="1"/>
  <c r="T88" i="5"/>
  <c r="W88" i="5" s="1"/>
  <c r="T31" i="5"/>
  <c r="W31" i="5" s="1"/>
  <c r="U20" i="5"/>
  <c r="T21" i="5"/>
  <c r="W21" i="5" s="1"/>
  <c r="T59" i="5"/>
  <c r="W59" i="5" s="1"/>
  <c r="U67" i="5"/>
  <c r="T54" i="5"/>
  <c r="W54" i="5" s="1"/>
  <c r="U86" i="5"/>
  <c r="X86" i="5" s="1"/>
  <c r="T6" i="5"/>
  <c r="W6" i="5" s="1"/>
  <c r="T37" i="5"/>
  <c r="W37" i="5" s="1"/>
  <c r="T67" i="5"/>
  <c r="W67" i="5" s="1"/>
  <c r="U68" i="5"/>
  <c r="T89" i="5"/>
  <c r="W89" i="5" s="1"/>
  <c r="U53" i="5"/>
  <c r="T71" i="5"/>
  <c r="W71" i="5" s="1"/>
  <c r="U83" i="5"/>
  <c r="T25" i="5"/>
  <c r="W25" i="5" s="1"/>
  <c r="T29" i="5"/>
  <c r="W29" i="5" s="1"/>
  <c r="T110" i="5"/>
  <c r="W110" i="5" s="1"/>
  <c r="T87" i="5"/>
  <c r="W87" i="5" s="1"/>
  <c r="D73" i="1"/>
  <c r="E66" i="1"/>
  <c r="B55" i="2" s="1"/>
  <c r="C57" i="2" s="1"/>
  <c r="B67" i="1"/>
  <c r="U105" i="5" l="1"/>
  <c r="W4" i="5"/>
  <c r="W105" i="5" s="1"/>
  <c r="T105" i="5"/>
  <c r="B86" i="1" s="1"/>
  <c r="X66" i="5"/>
  <c r="X87" i="5"/>
  <c r="X96" i="5"/>
  <c r="X99" i="5"/>
  <c r="X22" i="5"/>
  <c r="X101" i="5"/>
  <c r="X95" i="5"/>
  <c r="X100" i="5"/>
  <c r="X102" i="5"/>
  <c r="X97" i="5"/>
  <c r="X98" i="5"/>
  <c r="X81" i="5"/>
  <c r="X6" i="5"/>
  <c r="X5" i="5"/>
  <c r="X75" i="5"/>
  <c r="X45" i="5"/>
  <c r="X94" i="5"/>
  <c r="X71" i="5"/>
  <c r="X56" i="5"/>
  <c r="X14" i="5"/>
  <c r="X93" i="5"/>
  <c r="X110" i="5"/>
  <c r="Y110" i="5" s="1"/>
  <c r="X91" i="5"/>
  <c r="X74" i="5"/>
  <c r="X80" i="5"/>
  <c r="X48" i="5"/>
  <c r="Y49" i="5" s="1"/>
  <c r="X52" i="5"/>
  <c r="X47" i="5"/>
  <c r="X38" i="5"/>
  <c r="X7" i="5"/>
  <c r="X65" i="5"/>
  <c r="X90" i="5"/>
  <c r="X4" i="5"/>
  <c r="X30" i="5"/>
  <c r="X59" i="5"/>
  <c r="X76" i="5"/>
  <c r="X50" i="5"/>
  <c r="X32" i="5"/>
  <c r="X57" i="5"/>
  <c r="X85" i="5"/>
  <c r="Y86" i="5" s="1"/>
  <c r="X15" i="5"/>
  <c r="X63" i="5"/>
  <c r="X68" i="5"/>
  <c r="X21" i="5"/>
  <c r="X69" i="5"/>
  <c r="X55" i="5"/>
  <c r="X70" i="5"/>
  <c r="X44" i="5"/>
  <c r="X46" i="5"/>
  <c r="X64" i="5"/>
  <c r="X58" i="5"/>
  <c r="Y59" i="5" s="1"/>
  <c r="X60" i="5"/>
  <c r="X41" i="5"/>
  <c r="X39" i="5"/>
  <c r="X37" i="5"/>
  <c r="X67" i="5"/>
  <c r="Y67" i="5" s="1"/>
  <c r="X82" i="5"/>
  <c r="X92" i="5"/>
  <c r="X43" i="5"/>
  <c r="X84" i="5"/>
  <c r="X26" i="5"/>
  <c r="X25" i="5"/>
  <c r="X23" i="5"/>
  <c r="X13" i="5"/>
  <c r="X79" i="5"/>
  <c r="X11" i="5"/>
  <c r="X88" i="5"/>
  <c r="X9" i="5"/>
  <c r="X8" i="5"/>
  <c r="X12" i="5"/>
  <c r="P31" i="2"/>
  <c r="P32" i="2"/>
  <c r="R32" i="2" s="1"/>
  <c r="P33" i="2"/>
  <c r="R33" i="2" s="1"/>
  <c r="P34" i="2"/>
  <c r="R34" i="2" s="1"/>
  <c r="P3" i="2"/>
  <c r="R3" i="2" s="1"/>
  <c r="P30" i="2"/>
  <c r="R30" i="2" s="1"/>
  <c r="X24" i="5"/>
  <c r="X62" i="5"/>
  <c r="X20" i="5"/>
  <c r="X53" i="5"/>
  <c r="X35" i="5"/>
  <c r="X42" i="5"/>
  <c r="X61" i="5"/>
  <c r="X16" i="5"/>
  <c r="X28" i="5"/>
  <c r="X73" i="5"/>
  <c r="X36" i="5"/>
  <c r="X10" i="5"/>
  <c r="X18" i="5"/>
  <c r="X77" i="5"/>
  <c r="X72" i="5"/>
  <c r="X54" i="5"/>
  <c r="X51" i="5"/>
  <c r="X83" i="5"/>
  <c r="X34" i="5"/>
  <c r="X17" i="5"/>
  <c r="X29" i="5"/>
  <c r="X19" i="5"/>
  <c r="X78" i="5"/>
  <c r="X40" i="5"/>
  <c r="X89" i="5"/>
  <c r="C141" i="5"/>
  <c r="D141" i="5" s="1"/>
  <c r="D143" i="5" s="1"/>
  <c r="C149" i="5" s="1"/>
  <c r="X33" i="5"/>
  <c r="X31" i="5"/>
  <c r="C137" i="5"/>
  <c r="D137" i="5" s="1"/>
  <c r="D139" i="5" s="1"/>
  <c r="C148" i="5" s="1"/>
  <c r="P4" i="2"/>
  <c r="R4" i="2" s="1"/>
  <c r="P20" i="2"/>
  <c r="R20" i="2" s="1"/>
  <c r="P22" i="2"/>
  <c r="R22" i="2" s="1"/>
  <c r="P40" i="2"/>
  <c r="R40" i="2" s="1"/>
  <c r="P12" i="2"/>
  <c r="R12" i="2" s="1"/>
  <c r="P48" i="2"/>
  <c r="R48" i="2" s="1"/>
  <c r="P8" i="2"/>
  <c r="R8" i="2" s="1"/>
  <c r="P13" i="2"/>
  <c r="R13" i="2" s="1"/>
  <c r="P9" i="2"/>
  <c r="R9" i="2" s="1"/>
  <c r="P28" i="2"/>
  <c r="R28" i="2" s="1"/>
  <c r="P59" i="2"/>
  <c r="P29" i="2"/>
  <c r="R29" i="2" s="1"/>
  <c r="P27" i="2"/>
  <c r="R27" i="2" s="1"/>
  <c r="P15" i="2"/>
  <c r="R15" i="2" s="1"/>
  <c r="P6" i="2"/>
  <c r="R6" i="2" s="1"/>
  <c r="P42" i="2"/>
  <c r="R42" i="2" s="1"/>
  <c r="P36" i="2"/>
  <c r="R36" i="2" s="1"/>
  <c r="P17" i="2"/>
  <c r="R17" i="2" s="1"/>
  <c r="P10" i="2"/>
  <c r="R10" i="2" s="1"/>
  <c r="P7" i="2"/>
  <c r="R7" i="2" s="1"/>
  <c r="P51" i="2"/>
  <c r="R51" i="2" s="1"/>
  <c r="P50" i="2"/>
  <c r="R50" i="2" s="1"/>
  <c r="P24" i="2"/>
  <c r="R24" i="2" s="1"/>
  <c r="P11" i="2"/>
  <c r="R11" i="2" s="1"/>
  <c r="P18" i="2"/>
  <c r="R18" i="2" s="1"/>
  <c r="P21" i="2"/>
  <c r="R21" i="2" s="1"/>
  <c r="P45" i="2"/>
  <c r="R45" i="2" s="1"/>
  <c r="P49" i="2"/>
  <c r="R49" i="2" s="1"/>
  <c r="P43" i="2"/>
  <c r="R43" i="2" s="1"/>
  <c r="P41" i="2"/>
  <c r="R41" i="2" s="1"/>
  <c r="P25" i="2"/>
  <c r="R25" i="2" s="1"/>
  <c r="P44" i="2"/>
  <c r="R44" i="2" s="1"/>
  <c r="P46" i="2"/>
  <c r="R46" i="2" s="1"/>
  <c r="P23" i="2"/>
  <c r="R23" i="2" s="1"/>
  <c r="P37" i="2"/>
  <c r="R37" i="2" s="1"/>
  <c r="P39" i="2"/>
  <c r="R39" i="2" s="1"/>
  <c r="P35" i="2"/>
  <c r="R35" i="2" s="1"/>
  <c r="P38" i="2"/>
  <c r="R38" i="2" s="1"/>
  <c r="P47" i="2"/>
  <c r="R47" i="2" s="1"/>
  <c r="P16" i="2"/>
  <c r="R16" i="2" s="1"/>
  <c r="P19" i="2"/>
  <c r="R19" i="2" s="1"/>
  <c r="P14" i="2"/>
  <c r="R14" i="2" s="1"/>
  <c r="P5" i="2"/>
  <c r="R5" i="2" s="1"/>
  <c r="P26" i="2"/>
  <c r="R26" i="2" s="1"/>
  <c r="Y41" i="5" l="1"/>
  <c r="Y7" i="5"/>
  <c r="R31" i="2"/>
  <c r="S31" i="2" s="1"/>
  <c r="P55" i="2"/>
  <c r="Y5" i="5"/>
  <c r="X105" i="5"/>
  <c r="F86" i="1" s="1"/>
  <c r="Y94" i="5"/>
  <c r="Y45" i="5"/>
  <c r="Y100" i="5"/>
  <c r="Y96" i="5"/>
  <c r="Y9" i="5"/>
  <c r="Y88" i="5"/>
  <c r="Y77" i="5"/>
  <c r="Y21" i="5"/>
  <c r="Y55" i="5"/>
  <c r="Y25" i="5"/>
  <c r="Y102" i="5"/>
  <c r="Y79" i="5"/>
  <c r="Y23" i="5"/>
  <c r="Y69" i="5"/>
  <c r="Y63" i="5"/>
  <c r="Y71" i="5"/>
  <c r="Y90" i="5"/>
  <c r="Y53" i="5"/>
  <c r="Y92" i="5"/>
  <c r="Y73" i="5"/>
  <c r="Y47" i="5"/>
  <c r="Y81" i="5"/>
  <c r="Y13" i="5"/>
  <c r="Y98" i="5"/>
  <c r="Y57" i="5"/>
  <c r="Y65" i="5"/>
  <c r="Y37" i="5"/>
  <c r="Y29" i="5"/>
  <c r="Y75" i="5"/>
  <c r="Y15" i="5"/>
  <c r="C117" i="5"/>
  <c r="Y51" i="5"/>
  <c r="Y39" i="5"/>
  <c r="Y17" i="5"/>
  <c r="Y31" i="5"/>
  <c r="Y43" i="5"/>
  <c r="C118" i="5"/>
  <c r="Y33" i="5"/>
  <c r="Y61" i="5"/>
  <c r="Y19" i="5"/>
  <c r="Y84" i="5"/>
  <c r="S13" i="2"/>
  <c r="S14" i="2"/>
  <c r="S33" i="2"/>
  <c r="S32" i="2"/>
  <c r="S34" i="2"/>
  <c r="S30" i="2"/>
  <c r="S4" i="2"/>
  <c r="X112" i="5"/>
  <c r="C86" i="1" s="1"/>
  <c r="D64" i="1" s="1"/>
  <c r="E64" i="1" s="1"/>
  <c r="C147" i="5"/>
  <c r="S19" i="2"/>
  <c r="S37" i="2"/>
  <c r="B88" i="1"/>
  <c r="D88" i="1" s="1"/>
  <c r="C81" i="2"/>
  <c r="S16" i="2"/>
  <c r="S38" i="2"/>
  <c r="S23" i="2"/>
  <c r="S41" i="2"/>
  <c r="S45" i="2"/>
  <c r="S24" i="2"/>
  <c r="S7" i="2"/>
  <c r="S36" i="2"/>
  <c r="S15" i="2"/>
  <c r="S28" i="2"/>
  <c r="S40" i="2"/>
  <c r="W107" i="5"/>
  <c r="B76" i="1" s="1"/>
  <c r="E86" i="1"/>
  <c r="C85" i="2"/>
  <c r="D85" i="2" s="1"/>
  <c r="D87" i="2" s="1"/>
  <c r="C93" i="2" s="1"/>
  <c r="S5" i="2"/>
  <c r="S35" i="2"/>
  <c r="S43" i="2"/>
  <c r="S42" i="2"/>
  <c r="S9" i="2"/>
  <c r="S22" i="2"/>
  <c r="S39" i="2"/>
  <c r="S50" i="2"/>
  <c r="S29" i="2"/>
  <c r="S46" i="2"/>
  <c r="S21" i="2"/>
  <c r="S10" i="2"/>
  <c r="S27" i="2"/>
  <c r="S26" i="2"/>
  <c r="S44" i="2"/>
  <c r="S18" i="2"/>
  <c r="S48" i="2"/>
  <c r="S20" i="2"/>
  <c r="S47" i="2"/>
  <c r="S25" i="2"/>
  <c r="S49" i="2"/>
  <c r="S11" i="2"/>
  <c r="S51" i="2"/>
  <c r="S17" i="2"/>
  <c r="S6" i="2"/>
  <c r="R59" i="2"/>
  <c r="S59" i="2" s="1"/>
  <c r="S8" i="2"/>
  <c r="S12" i="2"/>
  <c r="S3" i="2" l="1"/>
  <c r="S55" i="2" s="1"/>
  <c r="R55" i="2"/>
  <c r="Y105" i="5"/>
  <c r="B17" i="10" s="1"/>
  <c r="C119" i="5"/>
  <c r="D65" i="1"/>
  <c r="E65" i="1" s="1"/>
  <c r="E53" i="6" s="1"/>
  <c r="B56" i="6" s="1"/>
  <c r="C91" i="2"/>
  <c r="D81" i="2"/>
  <c r="D83" i="2" s="1"/>
  <c r="C92" i="2" s="1"/>
  <c r="D86" i="1"/>
  <c r="F88" i="1" l="1"/>
  <c r="B18" i="10"/>
  <c r="L16" i="6"/>
  <c r="O16" i="6" s="1"/>
  <c r="L17" i="6"/>
  <c r="O17" i="6" s="1"/>
  <c r="L35" i="6"/>
  <c r="L33" i="6"/>
  <c r="L34" i="6"/>
  <c r="L31" i="6"/>
  <c r="N31" i="6" s="1"/>
  <c r="O31" i="6" s="1"/>
  <c r="P31" i="6" s="1"/>
  <c r="L32" i="6"/>
  <c r="C87" i="1"/>
  <c r="L14" i="6"/>
  <c r="L28" i="6"/>
  <c r="L26" i="6"/>
  <c r="L8" i="6"/>
  <c r="L36" i="6"/>
  <c r="L39" i="6"/>
  <c r="L40" i="6"/>
  <c r="L43" i="6"/>
  <c r="L22" i="6"/>
  <c r="L10" i="6"/>
  <c r="L7" i="6"/>
  <c r="L41" i="6"/>
  <c r="L13" i="6"/>
  <c r="L48" i="6"/>
  <c r="L5" i="6"/>
  <c r="L15" i="6"/>
  <c r="L11" i="6"/>
  <c r="L37" i="6"/>
  <c r="L42" i="6"/>
  <c r="L12" i="6"/>
  <c r="L50" i="6"/>
  <c r="L29" i="6"/>
  <c r="L24" i="6"/>
  <c r="L6" i="6"/>
  <c r="L25" i="6"/>
  <c r="L47" i="6"/>
  <c r="L23" i="6"/>
  <c r="L21" i="6"/>
  <c r="L18" i="6"/>
  <c r="L51" i="6"/>
  <c r="L4" i="6"/>
  <c r="L20" i="6"/>
  <c r="L9" i="6"/>
  <c r="L45" i="6"/>
  <c r="L46" i="6"/>
  <c r="L30" i="6"/>
  <c r="L19" i="6"/>
  <c r="L49" i="6"/>
  <c r="L27" i="6"/>
  <c r="L52" i="6"/>
  <c r="L44" i="6"/>
  <c r="L38" i="6"/>
  <c r="E88" i="1"/>
  <c r="R61" i="2"/>
  <c r="B78" i="1" s="1"/>
  <c r="E67" i="1"/>
  <c r="P17" i="6" l="1"/>
  <c r="N34" i="6"/>
  <c r="O34" i="6" s="1"/>
  <c r="P34" i="6" s="1"/>
  <c r="N33" i="6"/>
  <c r="O33" i="6" s="1"/>
  <c r="P33" i="6" s="1"/>
  <c r="N35" i="6"/>
  <c r="O35" i="6" s="1"/>
  <c r="P35" i="6" s="1"/>
  <c r="N32" i="6"/>
  <c r="O32" i="6" s="1"/>
  <c r="P32" i="6" s="1"/>
  <c r="N52" i="6"/>
  <c r="O52" i="6" s="1"/>
  <c r="P52" i="6" s="1"/>
  <c r="N51" i="6"/>
  <c r="O51" i="6" s="1"/>
  <c r="P51" i="6" s="1"/>
  <c r="N49" i="6"/>
  <c r="O49" i="6" s="1"/>
  <c r="P49" i="6" s="1"/>
  <c r="N21" i="6"/>
  <c r="O21" i="6" s="1"/>
  <c r="P21" i="6" s="1"/>
  <c r="N25" i="6"/>
  <c r="O25" i="6" s="1"/>
  <c r="P25" i="6" s="1"/>
  <c r="N37" i="6"/>
  <c r="O37" i="6" s="1"/>
  <c r="P37" i="6" s="1"/>
  <c r="N48" i="6"/>
  <c r="O48" i="6" s="1"/>
  <c r="P48" i="6" s="1"/>
  <c r="N36" i="6"/>
  <c r="O36" i="6" s="1"/>
  <c r="P36" i="6" s="1"/>
  <c r="N14" i="6"/>
  <c r="O14" i="6" s="1"/>
  <c r="N44" i="6"/>
  <c r="O44" i="6" s="1"/>
  <c r="P44" i="6" s="1"/>
  <c r="N19" i="6"/>
  <c r="O19" i="6" s="1"/>
  <c r="P19" i="6" s="1"/>
  <c r="N46" i="6"/>
  <c r="O46" i="6" s="1"/>
  <c r="P46" i="6" s="1"/>
  <c r="N4" i="6"/>
  <c r="O4" i="6" s="1"/>
  <c r="P4" i="6" s="1"/>
  <c r="L53" i="6"/>
  <c r="B87" i="1" s="1"/>
  <c r="C65" i="6"/>
  <c r="N23" i="6"/>
  <c r="O23" i="6" s="1"/>
  <c r="P23" i="6" s="1"/>
  <c r="N50" i="6"/>
  <c r="O50" i="6" s="1"/>
  <c r="P50" i="6" s="1"/>
  <c r="N12" i="6"/>
  <c r="O12" i="6" s="1"/>
  <c r="P12" i="6" s="1"/>
  <c r="N11" i="6"/>
  <c r="O11" i="6" s="1"/>
  <c r="P11" i="6" s="1"/>
  <c r="N43" i="6"/>
  <c r="O43" i="6" s="1"/>
  <c r="P43" i="6" s="1"/>
  <c r="N8" i="6"/>
  <c r="O8" i="6" s="1"/>
  <c r="N30" i="6"/>
  <c r="O30" i="6" s="1"/>
  <c r="P30" i="6" s="1"/>
  <c r="C69" i="6"/>
  <c r="D69" i="6" s="1"/>
  <c r="D71" i="6" s="1"/>
  <c r="C77" i="6" s="1"/>
  <c r="N6" i="6"/>
  <c r="O6" i="6" s="1"/>
  <c r="P6" i="6" s="1"/>
  <c r="N15" i="6"/>
  <c r="O15" i="6" s="1"/>
  <c r="N13" i="6"/>
  <c r="O13" i="6" s="1"/>
  <c r="P13" i="6" s="1"/>
  <c r="N7" i="6"/>
  <c r="O7" i="6" s="1"/>
  <c r="N40" i="6"/>
  <c r="O40" i="6" s="1"/>
  <c r="P40" i="6" s="1"/>
  <c r="N26" i="6"/>
  <c r="O26" i="6" s="1"/>
  <c r="P26" i="6" s="1"/>
  <c r="N27" i="6"/>
  <c r="O27" i="6" s="1"/>
  <c r="P27" i="6" s="1"/>
  <c r="N9" i="6"/>
  <c r="O9" i="6" s="1"/>
  <c r="P9" i="6" s="1"/>
  <c r="N18" i="6"/>
  <c r="O18" i="6" s="1"/>
  <c r="P18" i="6" s="1"/>
  <c r="N47" i="6"/>
  <c r="O47" i="6" s="1"/>
  <c r="P47" i="6" s="1"/>
  <c r="N24" i="6"/>
  <c r="O24" i="6" s="1"/>
  <c r="P24" i="6" s="1"/>
  <c r="N42" i="6"/>
  <c r="O42" i="6" s="1"/>
  <c r="P42" i="6" s="1"/>
  <c r="N5" i="6"/>
  <c r="O5" i="6" s="1"/>
  <c r="P5" i="6" s="1"/>
  <c r="N41" i="6"/>
  <c r="O41" i="6" s="1"/>
  <c r="P41" i="6" s="1"/>
  <c r="N10" i="6"/>
  <c r="O10" i="6" s="1"/>
  <c r="P10" i="6" s="1"/>
  <c r="N39" i="6"/>
  <c r="O39" i="6" s="1"/>
  <c r="P39" i="6" s="1"/>
  <c r="N28" i="6"/>
  <c r="O28" i="6" s="1"/>
  <c r="P28" i="6" s="1"/>
  <c r="N45" i="6"/>
  <c r="O45" i="6" s="1"/>
  <c r="P45" i="6" s="1"/>
  <c r="N38" i="6"/>
  <c r="O38" i="6" s="1"/>
  <c r="P38" i="6" s="1"/>
  <c r="N20" i="6"/>
  <c r="O20" i="6" s="1"/>
  <c r="P20" i="6" s="1"/>
  <c r="N29" i="6"/>
  <c r="O29" i="6" s="1"/>
  <c r="P29" i="6" s="1"/>
  <c r="N22" i="6"/>
  <c r="O22" i="6" s="1"/>
  <c r="P22" i="6" s="1"/>
  <c r="P15" i="6" l="1"/>
  <c r="O53" i="6"/>
  <c r="F87" i="1" s="1"/>
  <c r="F89" i="1" s="1"/>
  <c r="C28" i="10" s="1"/>
  <c r="P8" i="6"/>
  <c r="D65" i="6"/>
  <c r="D67" i="6" s="1"/>
  <c r="C76" i="6" s="1"/>
  <c r="C75" i="6"/>
  <c r="D87" i="1"/>
  <c r="D89" i="1" s="1"/>
  <c r="B89" i="1"/>
  <c r="N53" i="6"/>
  <c r="N55" i="6" l="1"/>
  <c r="B77" i="1" s="1"/>
  <c r="B79" i="1" s="1"/>
  <c r="B82" i="1" s="1"/>
  <c r="E87" i="1"/>
  <c r="E89" i="1" s="1"/>
  <c r="P53" i="6"/>
  <c r="B19" i="10" s="1"/>
  <c r="B20" i="10" s="1"/>
  <c r="D79" i="1" l="1"/>
  <c r="B21" i="10"/>
  <c r="B2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Ambra Maracchi</author>
    <author>Alessandra Bertocchi</author>
  </authors>
  <commentList>
    <comment ref="Z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Ambra Maracchi:</t>
        </r>
        <r>
          <rPr>
            <sz val="9"/>
            <color indexed="81"/>
            <rFont val="Tahoma"/>
            <family val="2"/>
          </rPr>
          <t xml:space="preserve">
regolazione peo 2016 e 2017 erroneamente imputate al fondo 2018 nel mese di luglio</t>
        </r>
      </text>
    </comment>
    <comment ref="Z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Ambra Maracchi:</t>
        </r>
        <r>
          <rPr>
            <sz val="9"/>
            <color indexed="81"/>
            <rFont val="Tahoma"/>
            <family val="2"/>
          </rPr>
          <t xml:space="preserve">
imputazione al fondo ottobre novembre dicembre posizione organizzativa</t>
        </r>
      </text>
    </comment>
    <comment ref="AB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P.O. sulla 13a Mosetti spesata erroneamente sul 1103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Ambra Maracchi:</t>
        </r>
        <r>
          <rPr>
            <sz val="9"/>
            <color indexed="81"/>
            <rFont val="Tahoma"/>
            <family val="2"/>
          </rPr>
          <t xml:space="preserve">
solo dipendenti
</t>
        </r>
      </text>
    </comment>
  </commentList>
</comments>
</file>

<file path=xl/sharedStrings.xml><?xml version="1.0" encoding="utf-8"?>
<sst xmlns="http://schemas.openxmlformats.org/spreadsheetml/2006/main" count="1606" uniqueCount="420">
  <si>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</si>
  <si>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</si>
  <si>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</si>
  <si>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</si>
  <si>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</si>
  <si>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</si>
  <si>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</si>
  <si>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</si>
  <si>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</si>
  <si>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</si>
  <si>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</si>
  <si>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</si>
  <si>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INDENNITA'</t>
  </si>
  <si>
    <t>ARCH. INFORMATICI</t>
  </si>
  <si>
    <t>TOTALE RISORSE</t>
  </si>
  <si>
    <t>INCENTIVI L. 109/94</t>
  </si>
  <si>
    <t>IND COMPARTO Q.TA STIP</t>
  </si>
  <si>
    <t>IND. AREA DIRETTIVA</t>
  </si>
  <si>
    <t>INDENNITA' ART. 17</t>
  </si>
  <si>
    <t>STRAORDINARIO</t>
  </si>
  <si>
    <t>PR.EC Q. STIP.</t>
  </si>
  <si>
    <t>TOTALE RISORSE DA DISTRIBUIRE</t>
  </si>
  <si>
    <t>DESTINAZIONE</t>
  </si>
  <si>
    <t>15% PRODUTTIVITA' DI SISTEMA</t>
  </si>
  <si>
    <t>30% OBIETTIVI ISTITUZIONALI</t>
  </si>
  <si>
    <t xml:space="preserve">55% OBIETTIVI DI GRUPPO E/O INDIVIDUALI </t>
  </si>
  <si>
    <t>N.</t>
  </si>
  <si>
    <t>COGNOME</t>
  </si>
  <si>
    <t>NOME</t>
  </si>
  <si>
    <t>capitoli</t>
  </si>
  <si>
    <t>PROFILO PROF.</t>
  </si>
  <si>
    <t>CAT.</t>
  </si>
  <si>
    <t>note</t>
  </si>
  <si>
    <t>COEFF. DI CATEGORIA</t>
  </si>
  <si>
    <t>PUNTEGGIO</t>
  </si>
  <si>
    <t xml:space="preserve"> SPETTANTE</t>
  </si>
  <si>
    <t>tot gg 365 annui</t>
  </si>
  <si>
    <t>B base</t>
  </si>
  <si>
    <t>BELLOCCHI</t>
  </si>
  <si>
    <t>Gabriella</t>
  </si>
  <si>
    <t>collab. amm.vo</t>
  </si>
  <si>
    <t>B sup.</t>
  </si>
  <si>
    <t>BERCARI</t>
  </si>
  <si>
    <t>Davor</t>
  </si>
  <si>
    <t>C</t>
  </si>
  <si>
    <t>BERNAZZA</t>
  </si>
  <si>
    <t>Mauro</t>
  </si>
  <si>
    <t>D base</t>
  </si>
  <si>
    <t>DOBRILA</t>
  </si>
  <si>
    <t>Edi</t>
  </si>
  <si>
    <t>D sup</t>
  </si>
  <si>
    <t>GNISCI</t>
  </si>
  <si>
    <t>Francesca</t>
  </si>
  <si>
    <t>MAGRIS</t>
  </si>
  <si>
    <t>Bruno</t>
  </si>
  <si>
    <t>RAUBER</t>
  </si>
  <si>
    <t>M.Gabriella</t>
  </si>
  <si>
    <t>SABATINO</t>
  </si>
  <si>
    <t>Angelo</t>
  </si>
  <si>
    <t xml:space="preserve">collaborat. elettrotec. </t>
  </si>
  <si>
    <t>ALZETTA</t>
  </si>
  <si>
    <t>Marina</t>
  </si>
  <si>
    <t>istr. amm.vo</t>
  </si>
  <si>
    <t>BUSETTI</t>
  </si>
  <si>
    <t>Daniela</t>
  </si>
  <si>
    <t>CIACCHI</t>
  </si>
  <si>
    <t>Pia</t>
  </si>
  <si>
    <t>esperto sociale</t>
  </si>
  <si>
    <t>GAMBINO</t>
  </si>
  <si>
    <t>GREGORETTI</t>
  </si>
  <si>
    <t>Fulvia</t>
  </si>
  <si>
    <t>LIMONCIN</t>
  </si>
  <si>
    <t>Rita Maria</t>
  </si>
  <si>
    <t>METLIKA</t>
  </si>
  <si>
    <t>Roberto</t>
  </si>
  <si>
    <t>SIEGA</t>
  </si>
  <si>
    <t>Lara</t>
  </si>
  <si>
    <t>SOSSI</t>
  </si>
  <si>
    <t>Peter</t>
  </si>
  <si>
    <t>COLONI</t>
  </si>
  <si>
    <t>Elena</t>
  </si>
  <si>
    <t>CODINI</t>
  </si>
  <si>
    <t>FAVATA</t>
  </si>
  <si>
    <t>Rosalba</t>
  </si>
  <si>
    <t>esperto contabile</t>
  </si>
  <si>
    <t>D sup.</t>
  </si>
  <si>
    <t xml:space="preserve">LIMONCIN </t>
  </si>
  <si>
    <t>Alberto</t>
  </si>
  <si>
    <t>esperto tecnico-manutenzione</t>
  </si>
  <si>
    <t xml:space="preserve">MILLO </t>
  </si>
  <si>
    <t>Paola</t>
  </si>
  <si>
    <t>esperto assist.soc.</t>
  </si>
  <si>
    <t>QUARANTOTTO</t>
  </si>
  <si>
    <t>Valentina</t>
  </si>
  <si>
    <t>SORRENTINO</t>
  </si>
  <si>
    <t>Grazia</t>
  </si>
  <si>
    <t xml:space="preserve">TONETTO </t>
  </si>
  <si>
    <t>Miriam</t>
  </si>
  <si>
    <t>esperto soc.</t>
  </si>
  <si>
    <t>GUZZARDI</t>
  </si>
  <si>
    <t>MARACCHI</t>
  </si>
  <si>
    <t>Ilaria</t>
  </si>
  <si>
    <t xml:space="preserve">funzionario sociale </t>
  </si>
  <si>
    <t>* x</t>
  </si>
  <si>
    <t xml:space="preserve">k = </t>
  </si>
  <si>
    <t>Ambra</t>
  </si>
  <si>
    <t>esperto personale</t>
  </si>
  <si>
    <t>VALENTE</t>
  </si>
  <si>
    <t>Rossana</t>
  </si>
  <si>
    <t>ABATE</t>
  </si>
  <si>
    <t>Silvia</t>
  </si>
  <si>
    <t>RIEPILOGO PER CONTABILITA'</t>
  </si>
  <si>
    <t>PRODUTT</t>
  </si>
  <si>
    <t>ctr su prod.</t>
  </si>
  <si>
    <t>TOTALE GENERALE</t>
  </si>
  <si>
    <t>NON DISTRIBUITO</t>
  </si>
  <si>
    <t>VALORE</t>
  </si>
  <si>
    <t xml:space="preserve">TOT GG </t>
  </si>
  <si>
    <t>tot gg</t>
  </si>
  <si>
    <t>gg spett.</t>
  </si>
  <si>
    <t>% raggiunta</t>
  </si>
  <si>
    <t>gg lavoro</t>
  </si>
  <si>
    <t>B sup</t>
  </si>
  <si>
    <t>GRUPPO/IND</t>
  </si>
  <si>
    <t>GRUPPO</t>
  </si>
  <si>
    <t xml:space="preserve"> se raggiunto100%</t>
  </si>
  <si>
    <t>N.B. gli obiettivi individuali non sono decurtati delle assenze ma ho tenuto conto del periodo in caso di inizio o fine rapporto</t>
  </si>
  <si>
    <t xml:space="preserve">PR. ORIZZ. Q. F.DO </t>
  </si>
  <si>
    <t>IND. COMPARTO Q. F.DO</t>
  </si>
  <si>
    <t>PR. ORIZZ. Q. stip</t>
  </si>
  <si>
    <t>IND. COMPARTO Q. stip</t>
  </si>
  <si>
    <t>DA PAGARE CON PRODUTTIVITA'</t>
  </si>
  <si>
    <t>STRAORD</t>
  </si>
  <si>
    <t>access. Eredi (pr orizz)</t>
  </si>
  <si>
    <t>N. OBIETT.</t>
  </si>
  <si>
    <t>BENES</t>
  </si>
  <si>
    <t>PITACCO</t>
  </si>
  <si>
    <t>Cristina</t>
  </si>
  <si>
    <t>Alessandra</t>
  </si>
  <si>
    <t>esperto sanitario</t>
  </si>
  <si>
    <t>funzionario contabile</t>
  </si>
  <si>
    <t>KLIMA</t>
  </si>
  <si>
    <t>Marzia</t>
  </si>
  <si>
    <t>fuori organico</t>
  </si>
  <si>
    <t>OB DI GRUPPO</t>
  </si>
  <si>
    <t>OB ISTITUZIONALI</t>
  </si>
  <si>
    <t>PRODUTTIVITA</t>
  </si>
  <si>
    <t>p.t.</t>
  </si>
  <si>
    <t>sistema</t>
  </si>
  <si>
    <t>istituzionali</t>
  </si>
  <si>
    <t>obiettivi</t>
  </si>
  <si>
    <t xml:space="preserve">RECUPERO ACCONTO </t>
  </si>
  <si>
    <t>IND</t>
  </si>
  <si>
    <t>STARZ</t>
  </si>
  <si>
    <t>Monica</t>
  </si>
  <si>
    <t>esperto amministrativo</t>
  </si>
  <si>
    <t>BERTOCCHI</t>
  </si>
  <si>
    <t>SPESE USCITE DA ALTRI CAPITOLI</t>
  </si>
  <si>
    <t>D base.</t>
  </si>
  <si>
    <t>SPESA TOTALE</t>
  </si>
  <si>
    <t>DERIN</t>
  </si>
  <si>
    <t>Michela</t>
  </si>
  <si>
    <t>BARTULOVICH</t>
  </si>
  <si>
    <t>Antenore</t>
  </si>
  <si>
    <t xml:space="preserve">NONIS </t>
  </si>
  <si>
    <t>PLANISCIG</t>
  </si>
  <si>
    <t>Sabrina</t>
  </si>
  <si>
    <t>NONIS</t>
  </si>
  <si>
    <t>istr. Sociale</t>
  </si>
  <si>
    <t>esecut. Amm.vo</t>
  </si>
  <si>
    <t xml:space="preserve">BARTULOVICH </t>
  </si>
  <si>
    <t>B SUP</t>
  </si>
  <si>
    <t>D</t>
  </si>
  <si>
    <t>B BASE</t>
  </si>
  <si>
    <t>D SUP</t>
  </si>
  <si>
    <t>Claudio</t>
  </si>
  <si>
    <t>caT</t>
  </si>
  <si>
    <t>valori</t>
  </si>
  <si>
    <t>FUORI ORGANICO</t>
  </si>
  <si>
    <t>ECONOMIA DI BILANCIO</t>
  </si>
  <si>
    <t>GG ASSEN./260 TOTALI</t>
  </si>
  <si>
    <t>TOTALE DA PAGARE</t>
  </si>
  <si>
    <t>COEFF.</t>
  </si>
  <si>
    <t>MAX ATTRIBUITO</t>
  </si>
  <si>
    <t>genn</t>
  </si>
  <si>
    <t>febb</t>
  </si>
  <si>
    <t>mar</t>
  </si>
  <si>
    <t>apr</t>
  </si>
  <si>
    <t>mag</t>
  </si>
  <si>
    <t>giu</t>
  </si>
  <si>
    <t>lug</t>
  </si>
  <si>
    <t>ago</t>
  </si>
  <si>
    <t>ott</t>
  </si>
  <si>
    <t>nov</t>
  </si>
  <si>
    <t>dic</t>
  </si>
  <si>
    <t>SORAVITO</t>
  </si>
  <si>
    <t>Maurizio</t>
  </si>
  <si>
    <t>Isabella</t>
  </si>
  <si>
    <t>GOZZI</t>
  </si>
  <si>
    <t>ROS</t>
  </si>
  <si>
    <t>BIASIOLO</t>
  </si>
  <si>
    <t>RIEPILOGO PAGAMENTI</t>
  </si>
  <si>
    <t>spettante</t>
  </si>
  <si>
    <t>risparmio L. 133</t>
  </si>
  <si>
    <t>"60%"</t>
  </si>
  <si>
    <t>"90%"</t>
  </si>
  <si>
    <t>&gt;60% &lt;90%</t>
  </si>
  <si>
    <t xml:space="preserve">&lt;60% </t>
  </si>
  <si>
    <t xml:space="preserve">&gt;90%  </t>
  </si>
  <si>
    <t>totale</t>
  </si>
  <si>
    <t>N.B. part time e periodi inferiori all'anno sono riportati all'anno intero</t>
  </si>
  <si>
    <t>set</t>
  </si>
  <si>
    <t>IND. DIR IPS (Maracchi)</t>
  </si>
  <si>
    <t>INDENNITA' ART. 17 stipendi</t>
  </si>
  <si>
    <t>STRAORDINARIO su stip</t>
  </si>
  <si>
    <t>mandati&gt;&gt;&gt;&gt;&gt;</t>
  </si>
  <si>
    <t>SICCARDI</t>
  </si>
  <si>
    <t>MOCNICH</t>
  </si>
  <si>
    <t>Lorenzo</t>
  </si>
  <si>
    <t>k=</t>
  </si>
  <si>
    <t>=</t>
  </si>
  <si>
    <t>istr. Amm.vo informatico</t>
  </si>
  <si>
    <t>collab.re Tec.Manutenz.</t>
  </si>
  <si>
    <t>tot 1101</t>
  </si>
  <si>
    <t>TOTALE 1101</t>
  </si>
  <si>
    <t>TOT 1102</t>
  </si>
  <si>
    <t>FUORI ORG 1102</t>
  </si>
  <si>
    <t>TOTALE 1102</t>
  </si>
  <si>
    <t>funzionario amm.vo</t>
  </si>
  <si>
    <t>N.B. PRODUTTIVITA' DI SISTEMA E OBIETTIVI DI GRUPPO SONO DECURTATI DELLE ASSENZE IN BASE ALL'ART. 1.4 C.D.I.</t>
  </si>
  <si>
    <t>N.B. L'ECONOMIA DI BILANCIO DEVE ESSERE CALCOLATA PER I PRIMI 10 GG. DI MALATTIA</t>
  </si>
  <si>
    <t>x</t>
  </si>
  <si>
    <t>coeff gg</t>
  </si>
  <si>
    <t>n.b. 10 gg per evento</t>
  </si>
  <si>
    <t>TOTALE EC. DI BILANCIO</t>
  </si>
  <si>
    <t>pt + %capitolo</t>
  </si>
  <si>
    <t>coeff</t>
  </si>
  <si>
    <t>primi 10 gg malattia Brunetta</t>
  </si>
  <si>
    <t>part time e % capitolo</t>
  </si>
  <si>
    <t>TOT 1101</t>
  </si>
  <si>
    <t>fuori organ 1101</t>
  </si>
  <si>
    <t>TOTALE PRODUTTIVITA' ANNO 2012</t>
  </si>
  <si>
    <t>coefficiente</t>
  </si>
  <si>
    <t xml:space="preserve">TOTALE SPESATO </t>
  </si>
  <si>
    <t>ECONOMIA DI BILANCIO EX L. 133/2008 DAL FONDO</t>
  </si>
  <si>
    <t>premio medio per sito</t>
  </si>
  <si>
    <t>MANDATI  1103</t>
  </si>
  <si>
    <t>ROBERTI</t>
  </si>
  <si>
    <t>CANDOLI</t>
  </si>
  <si>
    <t>ESPOSITO</t>
  </si>
  <si>
    <t xml:space="preserve"> malattia primi 10 gg.</t>
  </si>
  <si>
    <t>GG. MALATTIA</t>
  </si>
  <si>
    <t>gg spettanti   **</t>
  </si>
  <si>
    <t>**</t>
  </si>
  <si>
    <t>chi non raggiunge i cento giorni va a zero, per gli altri si calcola con gg. 260 meno le assenze calcolate per giorni lavorativi</t>
  </si>
  <si>
    <t>istr. Tecnico</t>
  </si>
  <si>
    <t xml:space="preserve">GG. MALATTIA </t>
  </si>
  <si>
    <t>N.B. ogni anno controllare la colonna  Q e rimettere a posto la formula</t>
  </si>
  <si>
    <t>N.B. ogni anno controllare la colonna  O e rimettere a posto la formula</t>
  </si>
  <si>
    <t>TOTALE PRODUTTIVITA' ANNO 2013</t>
  </si>
  <si>
    <t xml:space="preserve"> SPETTANTE SE TUTTI GLI OBIETTIVI RAGGIUNTI AL 100%</t>
  </si>
  <si>
    <t>IMPORTO PER OBIETTIVI NON RAGGIUNTI</t>
  </si>
  <si>
    <t xml:space="preserve">di cui economia di bilancio </t>
  </si>
  <si>
    <t xml:space="preserve">economia di  bilancio P.O. </t>
  </si>
  <si>
    <t>TOTALE ECONOMIE DI BILANCIO</t>
  </si>
  <si>
    <t>TOTALE ECONOMIE DI BILANCIO DIPENDENTI</t>
  </si>
  <si>
    <r>
      <t xml:space="preserve"> </t>
    </r>
    <r>
      <rPr>
        <b/>
        <sz val="11"/>
        <rFont val="Arial"/>
        <family val="2"/>
      </rPr>
      <t>*****</t>
    </r>
    <r>
      <rPr>
        <b/>
        <sz val="8"/>
        <rFont val="Arial"/>
        <family val="2"/>
      </rPr>
      <t xml:space="preserve">  SPETTANTE EFFETTIVO CON DECURTAZ. PER PARZIALE RAGGIUNGIMENTO </t>
    </r>
  </si>
  <si>
    <t>*****</t>
  </si>
  <si>
    <t>Se un obiettivo non è raggiunto al 100%b cambiare formula col Q e togliere colonna K poi cambiare formula colonna S ed inserire il moltiplicatore di colonna K</t>
  </si>
  <si>
    <t>L'anno successivo rivedere le formule che non restino cambiate</t>
  </si>
  <si>
    <t>obiettivi non raggiunti</t>
  </si>
  <si>
    <t>distribuito</t>
  </si>
  <si>
    <t>da impegnare</t>
  </si>
  <si>
    <t>somma per impegno spesa</t>
  </si>
  <si>
    <t>IND MANSIONI SUPERIORI</t>
  </si>
  <si>
    <t>MOSETTI</t>
  </si>
  <si>
    <t>Francesco</t>
  </si>
  <si>
    <t xml:space="preserve">P.T.  72,22% </t>
  </si>
  <si>
    <t>p.t. 72,22%</t>
  </si>
  <si>
    <t>ACCONTO PRODUTTIVITA' 2014</t>
  </si>
  <si>
    <t>OB DI GRUPPO (pr. Individuale x conto annuale)</t>
  </si>
  <si>
    <t>PRODUTTIVITA (pr. Individuale x conto annuale)</t>
  </si>
  <si>
    <t>OB ISTITUZIONALI (pr. collettiva x conto annuale)</t>
  </si>
  <si>
    <t>N.B. per conto annuale:ob istituzionali sono performance collettiva, ob. Individuali,di gruppo e pagelle sono performance individuale</t>
  </si>
  <si>
    <t>SE RAGGIUNTI 100%</t>
  </si>
  <si>
    <t>coeff se raggiunti tutti 100%</t>
  </si>
  <si>
    <t>TOTALE OB. DI GRUPPO</t>
  </si>
  <si>
    <t>TOTALE OB. INDIVIDUALI</t>
  </si>
  <si>
    <t>13ma</t>
  </si>
  <si>
    <t>N.B. I compensi per obiettivi istituzionali sono stati calcolati come per la retribuzione di risultato dei dirigenti - necessari almeno 60gg di presenza effettiva</t>
  </si>
  <si>
    <t>da pagare</t>
  </si>
  <si>
    <t>TOTALE SPETTANTE COMPLESSIVO</t>
  </si>
  <si>
    <t>COMPENSO RESP. SICUREZZA ANTINCENDIO</t>
  </si>
  <si>
    <t>da pagare con gli obiettivi</t>
  </si>
  <si>
    <t xml:space="preserve">SACCHI </t>
  </si>
  <si>
    <t>Stefania</t>
  </si>
  <si>
    <t>GENTILE</t>
  </si>
  <si>
    <t>p.t. 50%</t>
  </si>
  <si>
    <t>SACCHI</t>
  </si>
  <si>
    <t>Istr. Tecnico R.S.P.P.</t>
  </si>
  <si>
    <t>istr. Amm.vo</t>
  </si>
  <si>
    <t>DIPENDENTI FUORI ORGANICO</t>
  </si>
  <si>
    <t xml:space="preserve">p t 50% </t>
  </si>
  <si>
    <t>POLI</t>
  </si>
  <si>
    <t>Giulia</t>
  </si>
  <si>
    <t>COMPENSO R S ANTINCENDIO</t>
  </si>
  <si>
    <t xml:space="preserve">p.t. 50% </t>
  </si>
  <si>
    <t>PIGNOLO</t>
  </si>
  <si>
    <t>Iabella</t>
  </si>
  <si>
    <t xml:space="preserve">Istr. tec. Manutenz. </t>
  </si>
  <si>
    <t>P.T. 50%</t>
  </si>
  <si>
    <t>N.B. ai fini del raggiungimento dei 100 gg, colonna M si prendono i gg effettivamente lavorati dal prospetto halley e si aggiungono maternità infortuni parentali</t>
  </si>
  <si>
    <t>GG. MALATTIA  CON RIDUZIONE primi 10 di calendario di ogni evento</t>
  </si>
  <si>
    <t>I gg di malattia in colonna M sono giorni di calendario</t>
  </si>
  <si>
    <t>DISTRIBUZIONE DEL TRATTAMENTO ACCESSORIO</t>
  </si>
  <si>
    <t>PROGRESSIONI ORIZZONTALI</t>
  </si>
  <si>
    <t xml:space="preserve">POSIZIONI ORGANIZZATIVE </t>
  </si>
  <si>
    <t>IND. ART. 17 CCNL 1/4/1999</t>
  </si>
  <si>
    <t>INDENNITA' ARCHIVISTI INFORMATICI</t>
  </si>
  <si>
    <t xml:space="preserve">IND. COMPARTO </t>
  </si>
  <si>
    <t xml:space="preserve">PRODUTTIVITA' INDIVIDUALE - OBIETTIVI </t>
  </si>
  <si>
    <t>PRODUTTIVITA' INDIVIDUALE - SCHEDE VALUTAZIONE</t>
  </si>
  <si>
    <t>PRODUTTIVITA' - OBIETTIVI AZIENDALI</t>
  </si>
  <si>
    <t>TOTALE EROGATO</t>
  </si>
  <si>
    <t>economia di bilancio L. 133/2008</t>
  </si>
  <si>
    <t xml:space="preserve"> -   </t>
  </si>
  <si>
    <t>PREMI STANZIATI</t>
  </si>
  <si>
    <t>PREMI DISTRIBUITI</t>
  </si>
  <si>
    <t>PERSONALE DIPENDENTE</t>
  </si>
  <si>
    <t>PERSONALE DIRIGENTE</t>
  </si>
  <si>
    <t>DIRETTORE GENERALE</t>
  </si>
  <si>
    <t>13mA</t>
  </si>
  <si>
    <t>diff.</t>
  </si>
  <si>
    <t>INCENTIVI L. 109/94 da capitoli lavori</t>
  </si>
  <si>
    <t xml:space="preserve">P.T. 72,22%   </t>
  </si>
  <si>
    <t>ANGELI</t>
  </si>
  <si>
    <t>CRAIGHERO</t>
  </si>
  <si>
    <t>ZIGANTE</t>
  </si>
  <si>
    <t>Dalida</t>
  </si>
  <si>
    <t>Sara</t>
  </si>
  <si>
    <t xml:space="preserve">GODINA </t>
  </si>
  <si>
    <t>Martina</t>
  </si>
  <si>
    <t>GODINA</t>
  </si>
  <si>
    <t>DIMINUZIONE INCENTIVI PAGATI SU CAPITOLI LAVORI</t>
  </si>
  <si>
    <t>TOTALE RIMASTO AL 31/12/2019</t>
  </si>
  <si>
    <t>RISPARMIO DAL F.DO LAVORO STRAORDINARIO</t>
  </si>
  <si>
    <t xml:space="preserve">ANNO 2019 - FONDO ACCESSORIO PERSONALE DIPENDENTE - CAP. 1103  </t>
  </si>
  <si>
    <t>TOTALE FONDO 2019 € 242889,25 di cui …... incentivi pagati su capitoli lavori</t>
  </si>
  <si>
    <t>"2019"</t>
  </si>
  <si>
    <t>gennaio</t>
  </si>
  <si>
    <t>competenze pagate nel 2019</t>
  </si>
  <si>
    <t>già impegnato del .../19</t>
  </si>
  <si>
    <t>PRODUTTIVITA' DI SISTEMA  2019</t>
  </si>
  <si>
    <t>OBIETTIVI  INDIVIDUALI 2019</t>
  </si>
  <si>
    <t>OBIETTIVI ISTITUZIONALI 2019 ALMENO 60 GG. PRESENZA EFFETTIVA</t>
  </si>
  <si>
    <t>TOTALI PRODUTTIVITA' 2019</t>
  </si>
  <si>
    <t>fino al 3/11</t>
  </si>
  <si>
    <t xml:space="preserve"> 31 giorni aspettativa non retr.</t>
  </si>
  <si>
    <t>fino al 16/12</t>
  </si>
  <si>
    <t>50% fino al 20/5</t>
  </si>
  <si>
    <t>dal 1/6 al 31/8 p.t. 72,22%</t>
  </si>
  <si>
    <t>p.t. 72,22% fino al 31/5</t>
  </si>
  <si>
    <t>fino al 15/10</t>
  </si>
  <si>
    <t>DEPASE</t>
  </si>
  <si>
    <t>dal 15/4</t>
  </si>
  <si>
    <t>ZECCHIN</t>
  </si>
  <si>
    <t>Giulio</t>
  </si>
  <si>
    <t>dal 3/6</t>
  </si>
  <si>
    <t>BUSSANI</t>
  </si>
  <si>
    <t>Marco</t>
  </si>
  <si>
    <t>dal 18/11</t>
  </si>
  <si>
    <t>CICCARELLI</t>
  </si>
  <si>
    <t>Elisabetta</t>
  </si>
  <si>
    <t>BIANCO</t>
  </si>
  <si>
    <t>ORDINANOVICH</t>
  </si>
  <si>
    <t>Clara</t>
  </si>
  <si>
    <t>dal 16/12</t>
  </si>
  <si>
    <t>DAL 15/4</t>
  </si>
  <si>
    <t>p.t. 72,22% ASP NON RETR 1 MESE</t>
  </si>
  <si>
    <t>FINO AL 3/11 50%</t>
  </si>
  <si>
    <t>p.t. 72,22%  FINO AL 31/5</t>
  </si>
  <si>
    <t>50% FINO AL 20/5</t>
  </si>
  <si>
    <t>FINO AL 16/12</t>
  </si>
  <si>
    <t>FINO AL 31/8-72,22% DAL 1/6</t>
  </si>
  <si>
    <t>FINO AL 15/10</t>
  </si>
  <si>
    <t>istr. sociale</t>
  </si>
  <si>
    <t>DAL 3/6</t>
  </si>
  <si>
    <t>DAL 18/11</t>
  </si>
  <si>
    <t>DAL 16/12</t>
  </si>
  <si>
    <t>31 gg. Aspett. Non retr. 72,22%</t>
  </si>
  <si>
    <t>p.o. 50% fino al 20/5</t>
  </si>
  <si>
    <t>p t 72,22% fino al 31/5</t>
  </si>
  <si>
    <t>fino al 31/5 poi p.t. 72,22% fino al 31/8</t>
  </si>
  <si>
    <t>dalle giornate 365 si tolgono aspettative non retribuite, mal bambino &gt; 3 anni . Scioperi e tutte le maternità sia retribuite che non retribuite (anche congedo obbligatorio di mat.)</t>
  </si>
  <si>
    <t>TOTALE PAGATO NEL 2019dal fondo</t>
  </si>
  <si>
    <t>TOTALE PAGATO NEL 2019dagli stip</t>
  </si>
  <si>
    <t>TOTALE PAGATO NEL 2019 altri cap</t>
  </si>
  <si>
    <t>PAGATO NEL 2020</t>
  </si>
  <si>
    <t>**dal 2019 i risparmi da lavoro str.  andranno ad incrementare il fondo accessorio dell'anno successivo tra le risorse variabili, nel 2020 si incrementa il fondo di €</t>
  </si>
  <si>
    <t>fondo lavoro straordinario</t>
  </si>
  <si>
    <t>speso nel 2019</t>
  </si>
  <si>
    <t>incremento Fondo 2020</t>
  </si>
  <si>
    <t>TOTALE DA PAGARE ANTICIPO AD APRILE</t>
  </si>
  <si>
    <t>TOTALE A SALDO</t>
  </si>
  <si>
    <t>POS. ORGANIZZ. (non è più parte del Fondo -ma rientra nel limite-per  il 2019 sulla tredicesima è rimasta spesata al cap 1103)</t>
  </si>
  <si>
    <t>regolato in luglio 2020</t>
  </si>
  <si>
    <t>TOTALE PAGATO NEL 2020</t>
  </si>
  <si>
    <r>
      <t xml:space="preserve">RISPARMI F.DO L.RO STRAORD </t>
    </r>
    <r>
      <rPr>
        <sz val="8"/>
        <rFont val="Arial"/>
        <family val="2"/>
      </rPr>
      <t>(da far rientrare nel f.do 2020)**</t>
    </r>
  </si>
  <si>
    <t>speso nel 2020</t>
  </si>
  <si>
    <t>MANS DIRIG DAL 4/11</t>
  </si>
  <si>
    <t>fino al 4/11</t>
  </si>
  <si>
    <t>acconto</t>
  </si>
  <si>
    <t>res capitolo 1103 73979,38</t>
  </si>
  <si>
    <t xml:space="preserve">RETRIB. DI RISULTATO P.O.  </t>
  </si>
  <si>
    <t>pagare sul bilancio</t>
  </si>
  <si>
    <t>SALDO PRODUTTIVITA' PER CALCOLI</t>
  </si>
  <si>
    <t>DISTRIBUZIONE DEL TRATTAMENTO ACCESSORIO PERSONALE DIPENDENTE - 2019</t>
  </si>
  <si>
    <t>TOTALE RISORSE ANNO 2019</t>
  </si>
  <si>
    <t>DISTRIBUZIONE PREMI COLLEGATI ALLA PERFORMANCE ANNO 2019</t>
  </si>
  <si>
    <t>RISORSE EROGABILI FONDO ACCESSORIO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</si>
</sst>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&quot;L.&quot;\ * #,##0_-;\-&quot;L.&quot;\ * #,##0_-;_-&quot;L.&quot;\ * &quot;-&quot;_-;_-@_-"/>
    <numFmt numFmtId="165" formatCode="_-* #,##0.00_-;\-* #,##0.00_-;_-* &quot;-&quot;_-;_-@_-"/>
    <numFmt numFmtId="166" formatCode="0.0000"/>
    <numFmt numFmtId="167" formatCode="0.00000"/>
    <numFmt numFmtId="168" formatCode="_ * #,##0.00_)_L_._ ;_ * \(#,##0.00\)_L_._ ;_ * &quot;-&quot;_)_L_._ ;_ @_ "/>
    <numFmt numFmtId="169" formatCode="0.000000"/>
    <numFmt numFmtId="170" formatCode="0.000"/>
    <numFmt numFmtId="171" formatCode="#,##0.000000"/>
    <numFmt numFmtId="172" formatCode="#,##0.000000000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rgb="FFFF0000"/>
      <name val="Arial"/>
      <family val="2"/>
    </font>
    <font>
      <sz val="7"/>
      <color rgb="FFFF0000"/>
      <name val="Arial"/>
      <family val="2"/>
    </font>
    <font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7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4"/>
      <color rgb="FFFF0000"/>
      <name val="Arial"/>
      <family val="2"/>
    </font>
    <font>
      <i/>
      <sz val="10"/>
      <color theme="0" tint="-0.249977111117893"/>
      <name val="Verdana"/>
      <family val="2"/>
    </font>
    <font>
      <i/>
      <sz val="12"/>
      <color theme="0" tint="-0.249977111117893"/>
      <name val="Verdana"/>
      <family val="2"/>
    </font>
    <font>
      <i/>
      <sz val="10"/>
      <color theme="0" tint="-0.249977111117893"/>
      <name val="Arial"/>
      <family val="2"/>
    </font>
    <font>
      <i/>
      <sz val="8"/>
      <color theme="0" tint="-0.249977111117893"/>
      <name val="Arial"/>
      <family val="2"/>
    </font>
    <font>
      <i/>
      <sz val="7"/>
      <color theme="0" tint="-0.249977111117893"/>
      <name val="Arial"/>
      <family val="2"/>
    </font>
    <font>
      <b/>
      <i/>
      <sz val="8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8">
    <xf numFmtId="0" fontId="0" fillId="0" borderId="0" xfId="0"/>
    <xf numFmtId="3" fontId="0" fillId="0" borderId="0" xfId="0" applyNumberFormat="1"/>
    <xf numFmtId="41" fontId="0" fillId="0" borderId="0" xfId="2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165" fontId="0" fillId="0" borderId="0" xfId="2" applyNumberFormat="1" applyFont="1"/>
    <xf numFmtId="4" fontId="0" fillId="0" borderId="0" xfId="0" applyNumberFormat="1"/>
    <xf numFmtId="4" fontId="2" fillId="0" borderId="0" xfId="0" applyNumberFormat="1" applyFont="1"/>
    <xf numFmtId="0" fontId="4" fillId="0" borderId="0" xfId="0" applyFont="1"/>
    <xf numFmtId="165" fontId="4" fillId="0" borderId="0" xfId="0" applyNumberFormat="1" applyFont="1"/>
    <xf numFmtId="3" fontId="4" fillId="0" borderId="0" xfId="0" applyNumberFormat="1" applyFont="1"/>
    <xf numFmtId="165" fontId="2" fillId="0" borderId="0" xfId="0" applyNumberFormat="1" applyFont="1"/>
    <xf numFmtId="165" fontId="2" fillId="0" borderId="0" xfId="3" applyNumberFormat="1" applyFont="1"/>
    <xf numFmtId="3" fontId="3" fillId="0" borderId="0" xfId="0" applyNumberFormat="1" applyFont="1"/>
    <xf numFmtId="41" fontId="2" fillId="0" borderId="0" xfId="2" applyFont="1"/>
    <xf numFmtId="0" fontId="3" fillId="0" borderId="0" xfId="0" applyFont="1"/>
    <xf numFmtId="41" fontId="3" fillId="0" borderId="0" xfId="2" applyFont="1"/>
    <xf numFmtId="165" fontId="5" fillId="0" borderId="0" xfId="2" applyNumberFormat="1" applyFont="1"/>
    <xf numFmtId="0" fontId="6" fillId="0" borderId="0" xfId="0" applyFont="1"/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3" fontId="0" fillId="0" borderId="0" xfId="0" applyNumberFormat="1"/>
    <xf numFmtId="0" fontId="0" fillId="0" borderId="1" xfId="0" applyBorder="1"/>
    <xf numFmtId="0" fontId="0" fillId="0" borderId="2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1" fontId="8" fillId="0" borderId="0" xfId="2" applyFont="1" applyAlignment="1">
      <alignment horizontal="center"/>
    </xf>
    <xf numFmtId="164" fontId="8" fillId="0" borderId="0" xfId="3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7" fontId="9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center"/>
    </xf>
    <xf numFmtId="164" fontId="0" fillId="0" borderId="0" xfId="3" applyFont="1"/>
    <xf numFmtId="166" fontId="0" fillId="0" borderId="0" xfId="0" applyNumberFormat="1"/>
    <xf numFmtId="0" fontId="11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168" fontId="0" fillId="0" borderId="0" xfId="2" applyNumberFormat="1" applyFont="1"/>
    <xf numFmtId="4" fontId="0" fillId="0" borderId="0" xfId="3" applyNumberFormat="1" applyFont="1"/>
    <xf numFmtId="10" fontId="11" fillId="0" borderId="0" xfId="0" applyNumberFormat="1" applyFont="1" applyAlignment="1">
      <alignment horizontal="center"/>
    </xf>
    <xf numFmtId="168" fontId="0" fillId="0" borderId="3" xfId="2" applyNumberFormat="1" applyFont="1" applyBorder="1"/>
    <xf numFmtId="168" fontId="0" fillId="0" borderId="0" xfId="2" applyNumberFormat="1" applyFont="1" applyBorder="1"/>
    <xf numFmtId="4" fontId="0" fillId="0" borderId="3" xfId="3" applyNumberFormat="1" applyFont="1" applyBorder="1"/>
    <xf numFmtId="168" fontId="2" fillId="0" borderId="0" xfId="2" applyNumberFormat="1" applyFont="1" applyAlignment="1"/>
    <xf numFmtId="168" fontId="2" fillId="0" borderId="0" xfId="2" applyNumberFormat="1" applyFont="1" applyAlignment="1">
      <alignment horizontal="right"/>
    </xf>
    <xf numFmtId="4" fontId="2" fillId="0" borderId="0" xfId="3" applyNumberFormat="1" applyFont="1"/>
    <xf numFmtId="3" fontId="8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3" applyNumberFormat="1" applyFont="1"/>
    <xf numFmtId="168" fontId="2" fillId="0" borderId="0" xfId="0" applyNumberFormat="1" applyFont="1" applyAlignment="1">
      <alignment horizontal="right"/>
    </xf>
    <xf numFmtId="0" fontId="0" fillId="0" borderId="0" xfId="0" applyAlignment="1">
      <alignment horizontal="justify"/>
    </xf>
    <xf numFmtId="168" fontId="0" fillId="0" borderId="0" xfId="0" applyNumberFormat="1"/>
    <xf numFmtId="168" fontId="0" fillId="0" borderId="0" xfId="0" applyNumberFormat="1" applyAlignment="1">
      <alignment horizontal="justify"/>
    </xf>
    <xf numFmtId="168" fontId="2" fillId="0" borderId="0" xfId="0" applyNumberFormat="1" applyFont="1" applyAlignment="1">
      <alignment horizontal="justify"/>
    </xf>
    <xf numFmtId="0" fontId="2" fillId="0" borderId="0" xfId="0" applyFont="1" applyAlignment="1">
      <alignment horizontal="justify"/>
    </xf>
    <xf numFmtId="164" fontId="2" fillId="0" borderId="0" xfId="3" applyFont="1"/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168" fontId="0" fillId="0" borderId="0" xfId="2" applyNumberFormat="1" applyFont="1" applyAlignment="1">
      <alignment horizontal="right"/>
    </xf>
    <xf numFmtId="168" fontId="0" fillId="0" borderId="0" xfId="2" applyNumberFormat="1" applyFont="1" applyAlignment="1">
      <alignment horizontal="justify"/>
    </xf>
    <xf numFmtId="168" fontId="5" fillId="0" borderId="0" xfId="2" applyNumberFormat="1" applyFont="1"/>
    <xf numFmtId="168" fontId="2" fillId="0" borderId="0" xfId="2" applyNumberFormat="1" applyFont="1"/>
    <xf numFmtId="168" fontId="2" fillId="0" borderId="0" xfId="2" applyNumberFormat="1" applyFont="1" applyAlignment="1">
      <alignment horizontal="justify"/>
    </xf>
    <xf numFmtId="168" fontId="2" fillId="0" borderId="0" xfId="0" applyNumberFormat="1" applyFont="1"/>
    <xf numFmtId="168" fontId="3" fillId="0" borderId="0" xfId="0" applyNumberFormat="1" applyFont="1"/>
    <xf numFmtId="164" fontId="3" fillId="0" borderId="0" xfId="3" applyFont="1"/>
    <xf numFmtId="168" fontId="3" fillId="0" borderId="0" xfId="2" applyNumberFormat="1" applyFont="1"/>
    <xf numFmtId="168" fontId="3" fillId="0" borderId="0" xfId="2" applyNumberFormat="1" applyFont="1" applyAlignment="1">
      <alignment horizontal="right"/>
    </xf>
    <xf numFmtId="9" fontId="0" fillId="0" borderId="0" xfId="0" applyNumberFormat="1"/>
    <xf numFmtId="43" fontId="2" fillId="0" borderId="0" xfId="0" applyNumberFormat="1" applyFont="1"/>
    <xf numFmtId="0" fontId="0" fillId="2" borderId="0" xfId="0" applyFill="1"/>
    <xf numFmtId="41" fontId="1" fillId="0" borderId="0" xfId="2"/>
    <xf numFmtId="164" fontId="1" fillId="0" borderId="0" xfId="3"/>
    <xf numFmtId="168" fontId="1" fillId="0" borderId="0" xfId="2" applyNumberFormat="1" applyFont="1"/>
    <xf numFmtId="4" fontId="1" fillId="0" borderId="0" xfId="3" applyNumberFormat="1"/>
    <xf numFmtId="168" fontId="1" fillId="0" borderId="0" xfId="2" applyNumberFormat="1"/>
    <xf numFmtId="168" fontId="1" fillId="0" borderId="0" xfId="2" applyNumberFormat="1" applyBorder="1"/>
    <xf numFmtId="168" fontId="1" fillId="0" borderId="0" xfId="2" applyNumberFormat="1" applyAlignment="1">
      <alignment horizontal="right"/>
    </xf>
    <xf numFmtId="166" fontId="9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justify"/>
    </xf>
    <xf numFmtId="170" fontId="0" fillId="0" borderId="0" xfId="0" applyNumberFormat="1" applyAlignment="1">
      <alignment horizontal="right"/>
    </xf>
    <xf numFmtId="4" fontId="1" fillId="0" borderId="0" xfId="3" applyNumberFormat="1" applyBorder="1"/>
    <xf numFmtId="0" fontId="2" fillId="2" borderId="0" xfId="0" applyFont="1" applyFill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justify"/>
    </xf>
    <xf numFmtId="2" fontId="2" fillId="0" borderId="0" xfId="0" applyNumberFormat="1" applyFont="1" applyAlignment="1">
      <alignment horizontal="justify"/>
    </xf>
    <xf numFmtId="43" fontId="3" fillId="0" borderId="0" xfId="0" applyNumberFormat="1" applyFont="1"/>
    <xf numFmtId="4" fontId="4" fillId="0" borderId="0" xfId="0" applyNumberFormat="1" applyFont="1"/>
    <xf numFmtId="43" fontId="0" fillId="0" borderId="0" xfId="1" applyFont="1"/>
    <xf numFmtId="43" fontId="2" fillId="0" borderId="0" xfId="1" applyFont="1"/>
    <xf numFmtId="168" fontId="2" fillId="0" borderId="0" xfId="2" applyNumberFormat="1" applyFont="1" applyBorder="1" applyAlignment="1"/>
    <xf numFmtId="41" fontId="1" fillId="0" borderId="0" xfId="2" applyBorder="1"/>
    <xf numFmtId="164" fontId="1" fillId="0" borderId="0" xfId="3" applyBorder="1"/>
    <xf numFmtId="41" fontId="0" fillId="0" borderId="0" xfId="2" applyFont="1" applyFill="1"/>
    <xf numFmtId="41" fontId="2" fillId="0" borderId="0" xfId="2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9" fontId="11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5" fillId="0" borderId="0" xfId="3" applyNumberFormat="1" applyFont="1" applyBorder="1"/>
    <xf numFmtId="165" fontId="5" fillId="0" borderId="3" xfId="3" applyNumberFormat="1" applyFont="1" applyBorder="1"/>
    <xf numFmtId="165" fontId="5" fillId="0" borderId="0" xfId="3" applyNumberFormat="1" applyFont="1"/>
    <xf numFmtId="166" fontId="0" fillId="0" borderId="8" xfId="0" applyNumberFormat="1" applyBorder="1"/>
    <xf numFmtId="166" fontId="0" fillId="0" borderId="9" xfId="0" applyNumberFormat="1" applyBorder="1"/>
    <xf numFmtId="3" fontId="0" fillId="2" borderId="0" xfId="0" applyNumberFormat="1" applyFill="1"/>
    <xf numFmtId="0" fontId="12" fillId="2" borderId="0" xfId="0" applyFont="1" applyFill="1" applyAlignment="1">
      <alignment horizontal="center"/>
    </xf>
    <xf numFmtId="2" fontId="12" fillId="2" borderId="0" xfId="3" applyNumberFormat="1" applyFont="1" applyFill="1"/>
    <xf numFmtId="0" fontId="0" fillId="0" borderId="3" xfId="0" applyBorder="1"/>
    <xf numFmtId="168" fontId="0" fillId="0" borderId="3" xfId="2" applyNumberFormat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4" fillId="0" borderId="0" xfId="0" applyFont="1" applyAlignment="1">
      <alignment horizontal="center"/>
    </xf>
    <xf numFmtId="0" fontId="14" fillId="0" borderId="0" xfId="0" applyFont="1"/>
    <xf numFmtId="3" fontId="14" fillId="0" borderId="0" xfId="0" applyNumberFormat="1" applyFont="1"/>
    <xf numFmtId="41" fontId="14" fillId="0" borderId="0" xfId="2" applyFont="1" applyBorder="1"/>
    <xf numFmtId="164" fontId="14" fillId="0" borderId="0" xfId="3" applyFont="1" applyBorder="1"/>
    <xf numFmtId="0" fontId="2" fillId="0" borderId="3" xfId="0" applyFont="1" applyBorder="1"/>
    <xf numFmtId="166" fontId="0" fillId="0" borderId="0" xfId="0" applyNumberFormat="1" applyAlignment="1">
      <alignment horizontal="justify"/>
    </xf>
    <xf numFmtId="166" fontId="2" fillId="0" borderId="0" xfId="0" applyNumberFormat="1" applyFont="1"/>
    <xf numFmtId="166" fontId="8" fillId="0" borderId="0" xfId="0" applyNumberFormat="1" applyFont="1" applyAlignment="1">
      <alignment horizontal="center" wrapText="1"/>
    </xf>
    <xf numFmtId="43" fontId="0" fillId="0" borderId="3" xfId="0" applyNumberFormat="1" applyBorder="1"/>
    <xf numFmtId="43" fontId="0" fillId="0" borderId="12" xfId="1" applyFont="1" applyBorder="1"/>
    <xf numFmtId="43" fontId="14" fillId="0" borderId="0" xfId="1" applyFont="1"/>
    <xf numFmtId="2" fontId="5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13" xfId="0" applyFont="1" applyBorder="1"/>
    <xf numFmtId="0" fontId="0" fillId="0" borderId="14" xfId="0" applyBorder="1"/>
    <xf numFmtId="9" fontId="0" fillId="0" borderId="1" xfId="0" applyNumberFormat="1" applyBorder="1"/>
    <xf numFmtId="43" fontId="0" fillId="0" borderId="12" xfId="0" applyNumberFormat="1" applyBorder="1"/>
    <xf numFmtId="172" fontId="2" fillId="0" borderId="0" xfId="0" applyNumberFormat="1" applyFont="1"/>
    <xf numFmtId="4" fontId="0" fillId="0" borderId="12" xfId="0" applyNumberFormat="1" applyBorder="1"/>
    <xf numFmtId="4" fontId="2" fillId="0" borderId="15" xfId="0" applyNumberFormat="1" applyFont="1" applyBorder="1"/>
    <xf numFmtId="166" fontId="7" fillId="0" borderId="0" xfId="0" applyNumberFormat="1" applyFont="1" applyAlignment="1">
      <alignment horizontal="left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43" fontId="5" fillId="0" borderId="0" xfId="0" applyNumberFormat="1" applyFont="1"/>
    <xf numFmtId="0" fontId="1" fillId="0" borderId="0" xfId="2" applyNumberForma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43" fontId="0" fillId="0" borderId="3" xfId="1" applyFont="1" applyBorder="1"/>
    <xf numFmtId="166" fontId="7" fillId="0" borderId="3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right"/>
    </xf>
    <xf numFmtId="4" fontId="1" fillId="0" borderId="3" xfId="3" applyNumberFormat="1" applyBorder="1"/>
    <xf numFmtId="166" fontId="0" fillId="0" borderId="3" xfId="0" applyNumberFormat="1" applyBorder="1"/>
    <xf numFmtId="164" fontId="1" fillId="0" borderId="3" xfId="3" applyBorder="1"/>
    <xf numFmtId="43" fontId="0" fillId="0" borderId="0" xfId="1" applyFont="1" applyBorder="1"/>
    <xf numFmtId="43" fontId="5" fillId="0" borderId="0" xfId="1" applyFont="1"/>
    <xf numFmtId="43" fontId="18" fillId="0" borderId="0" xfId="0" applyNumberFormat="1" applyFont="1"/>
    <xf numFmtId="43" fontId="2" fillId="0" borderId="0" xfId="0" applyNumberFormat="1" applyFont="1" applyAlignment="1">
      <alignment horizontal="center"/>
    </xf>
    <xf numFmtId="17" fontId="4" fillId="0" borderId="0" xfId="0" applyNumberFormat="1" applyFont="1"/>
    <xf numFmtId="0" fontId="8" fillId="0" borderId="0" xfId="0" applyFont="1"/>
    <xf numFmtId="2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right"/>
    </xf>
    <xf numFmtId="164" fontId="0" fillId="0" borderId="0" xfId="3" applyFont="1" applyFill="1"/>
    <xf numFmtId="0" fontId="2" fillId="0" borderId="0" xfId="0" applyFont="1" applyAlignment="1">
      <alignment horizontal="right"/>
    </xf>
    <xf numFmtId="168" fontId="2" fillId="0" borderId="0" xfId="2" applyNumberFormat="1" applyFont="1" applyFill="1" applyAlignment="1"/>
    <xf numFmtId="2" fontId="17" fillId="0" borderId="0" xfId="0" applyNumberFormat="1" applyFont="1" applyAlignment="1">
      <alignment horizontal="right"/>
    </xf>
    <xf numFmtId="167" fontId="0" fillId="0" borderId="0" xfId="0" applyNumberFormat="1"/>
    <xf numFmtId="169" fontId="9" fillId="0" borderId="0" xfId="0" applyNumberFormat="1" applyFont="1" applyAlignment="1">
      <alignment horizontal="center"/>
    </xf>
    <xf numFmtId="166" fontId="8" fillId="0" borderId="16" xfId="0" applyNumberFormat="1" applyFont="1" applyBorder="1" applyAlignment="1">
      <alignment horizontal="left"/>
    </xf>
    <xf numFmtId="4" fontId="2" fillId="0" borderId="17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right"/>
    </xf>
    <xf numFmtId="168" fontId="14" fillId="0" borderId="18" xfId="2" applyNumberFormat="1" applyFont="1" applyBorder="1"/>
    <xf numFmtId="165" fontId="5" fillId="0" borderId="0" xfId="2" applyNumberFormat="1" applyFont="1" applyBorder="1" applyAlignment="1">
      <alignment wrapText="1"/>
    </xf>
    <xf numFmtId="43" fontId="0" fillId="0" borderId="19" xfId="1" applyFont="1" applyBorder="1"/>
    <xf numFmtId="43" fontId="2" fillId="0" borderId="15" xfId="0" applyNumberFormat="1" applyFont="1" applyBorder="1"/>
    <xf numFmtId="0" fontId="2" fillId="0" borderId="16" xfId="0" applyFont="1" applyBorder="1"/>
    <xf numFmtId="43" fontId="0" fillId="0" borderId="10" xfId="0" applyNumberFormat="1" applyBorder="1"/>
    <xf numFmtId="0" fontId="4" fillId="0" borderId="14" xfId="0" applyFont="1" applyBorder="1"/>
    <xf numFmtId="0" fontId="4" fillId="0" borderId="12" xfId="0" applyFont="1" applyBorder="1"/>
    <xf numFmtId="43" fontId="4" fillId="0" borderId="0" xfId="0" applyNumberFormat="1" applyFont="1"/>
    <xf numFmtId="4" fontId="4" fillId="0" borderId="12" xfId="0" applyNumberFormat="1" applyFont="1" applyBorder="1"/>
    <xf numFmtId="4" fontId="2" fillId="0" borderId="11" xfId="0" applyNumberFormat="1" applyFont="1" applyBorder="1"/>
    <xf numFmtId="4" fontId="0" fillId="0" borderId="11" xfId="0" applyNumberFormat="1" applyBorder="1"/>
    <xf numFmtId="0" fontId="5" fillId="0" borderId="17" xfId="0" applyFont="1" applyBorder="1"/>
    <xf numFmtId="43" fontId="2" fillId="0" borderId="18" xfId="0" applyNumberFormat="1" applyFont="1" applyBorder="1"/>
    <xf numFmtId="0" fontId="5" fillId="0" borderId="0" xfId="0" applyFont="1" applyAlignment="1">
      <alignment horizontal="justify"/>
    </xf>
    <xf numFmtId="0" fontId="33" fillId="0" borderId="0" xfId="0" applyFont="1"/>
    <xf numFmtId="43" fontId="2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3" xfId="1" applyFont="1" applyBorder="1" applyAlignment="1">
      <alignment horizontal="center"/>
    </xf>
    <xf numFmtId="43" fontId="13" fillId="0" borderId="20" xfId="1" applyFont="1" applyBorder="1"/>
    <xf numFmtId="4" fontId="4" fillId="0" borderId="19" xfId="0" applyNumberFormat="1" applyFont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41" fontId="21" fillId="0" borderId="0" xfId="2" applyFont="1"/>
    <xf numFmtId="164" fontId="21" fillId="0" borderId="0" xfId="3" applyFont="1"/>
    <xf numFmtId="0" fontId="21" fillId="0" borderId="0" xfId="0" applyFont="1"/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right"/>
    </xf>
    <xf numFmtId="168" fontId="21" fillId="0" borderId="0" xfId="2" applyNumberFormat="1" applyFont="1" applyBorder="1"/>
    <xf numFmtId="4" fontId="21" fillId="0" borderId="0" xfId="3" applyNumberFormat="1" applyFont="1"/>
    <xf numFmtId="168" fontId="21" fillId="0" borderId="0" xfId="2" applyNumberFormat="1" applyFont="1"/>
    <xf numFmtId="3" fontId="21" fillId="0" borderId="0" xfId="0" applyNumberFormat="1" applyFont="1"/>
    <xf numFmtId="0" fontId="20" fillId="0" borderId="0" xfId="0" applyFont="1" applyAlignment="1">
      <alignment horizontal="center" wrapText="1"/>
    </xf>
    <xf numFmtId="0" fontId="20" fillId="0" borderId="0" xfId="0" applyFont="1"/>
    <xf numFmtId="43" fontId="21" fillId="0" borderId="0" xfId="0" applyNumberFormat="1" applyFont="1"/>
    <xf numFmtId="4" fontId="20" fillId="0" borderId="0" xfId="0" applyNumberFormat="1" applyFont="1"/>
    <xf numFmtId="168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8" fontId="21" fillId="0" borderId="0" xfId="2" applyNumberFormat="1" applyFont="1" applyAlignment="1">
      <alignment horizontal="right"/>
    </xf>
    <xf numFmtId="43" fontId="21" fillId="0" borderId="0" xfId="1" applyFont="1" applyAlignment="1"/>
    <xf numFmtId="0" fontId="21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43" fontId="20" fillId="0" borderId="0" xfId="1" applyFont="1" applyAlignment="1"/>
    <xf numFmtId="168" fontId="20" fillId="0" borderId="0" xfId="2" applyNumberFormat="1" applyFont="1"/>
    <xf numFmtId="0" fontId="22" fillId="0" borderId="0" xfId="0" applyFont="1"/>
    <xf numFmtId="168" fontId="22" fillId="0" borderId="0" xfId="2" applyNumberFormat="1" applyFont="1"/>
    <xf numFmtId="168" fontId="22" fillId="0" borderId="0" xfId="2" applyNumberFormat="1" applyFont="1" applyAlignment="1">
      <alignment horizontal="right"/>
    </xf>
    <xf numFmtId="168" fontId="20" fillId="0" borderId="0" xfId="0" applyNumberFormat="1" applyFont="1"/>
    <xf numFmtId="0" fontId="2" fillId="0" borderId="1" xfId="0" applyFont="1" applyBorder="1"/>
    <xf numFmtId="4" fontId="2" fillId="0" borderId="12" xfId="0" applyNumberFormat="1" applyFont="1" applyBorder="1"/>
    <xf numFmtId="0" fontId="5" fillId="0" borderId="1" xfId="0" applyFont="1" applyBorder="1"/>
    <xf numFmtId="2" fontId="0" fillId="0" borderId="12" xfId="0" applyNumberFormat="1" applyBorder="1"/>
    <xf numFmtId="0" fontId="14" fillId="0" borderId="2" xfId="0" applyFont="1" applyBorder="1"/>
    <xf numFmtId="4" fontId="14" fillId="0" borderId="15" xfId="0" applyNumberFormat="1" applyFont="1" applyBorder="1"/>
    <xf numFmtId="43" fontId="2" fillId="0" borderId="0" xfId="0" applyNumberFormat="1" applyFont="1" applyAlignment="1">
      <alignment wrapText="1"/>
    </xf>
    <xf numFmtId="165" fontId="5" fillId="0" borderId="0" xfId="2" applyNumberFormat="1" applyFont="1" applyBorder="1"/>
    <xf numFmtId="4" fontId="5" fillId="0" borderId="0" xfId="0" applyNumberFormat="1" applyFont="1"/>
    <xf numFmtId="41" fontId="0" fillId="0" borderId="0" xfId="2" applyFont="1" applyBorder="1"/>
    <xf numFmtId="2" fontId="2" fillId="0" borderId="17" xfId="0" applyNumberFormat="1" applyFont="1" applyBorder="1"/>
    <xf numFmtId="0" fontId="2" fillId="0" borderId="18" xfId="0" applyFont="1" applyBorder="1"/>
    <xf numFmtId="4" fontId="3" fillId="0" borderId="16" xfId="0" applyNumberFormat="1" applyFont="1" applyBorder="1"/>
    <xf numFmtId="43" fontId="2" fillId="0" borderId="3" xfId="1" applyFont="1" applyBorder="1"/>
    <xf numFmtId="0" fontId="2" fillId="0" borderId="21" xfId="0" applyFont="1" applyBorder="1" applyAlignment="1">
      <alignment wrapText="1"/>
    </xf>
    <xf numFmtId="43" fontId="33" fillId="0" borderId="0" xfId="0" applyNumberFormat="1" applyFont="1"/>
    <xf numFmtId="2" fontId="21" fillId="0" borderId="0" xfId="0" applyNumberFormat="1" applyFont="1"/>
    <xf numFmtId="4" fontId="34" fillId="0" borderId="0" xfId="0" applyNumberFormat="1" applyFont="1"/>
    <xf numFmtId="4" fontId="33" fillId="0" borderId="0" xfId="0" applyNumberFormat="1" applyFont="1"/>
    <xf numFmtId="164" fontId="5" fillId="0" borderId="0" xfId="3" applyFont="1"/>
    <xf numFmtId="4" fontId="5" fillId="0" borderId="0" xfId="3" applyNumberFormat="1" applyFont="1"/>
    <xf numFmtId="2" fontId="24" fillId="2" borderId="0" xfId="3" applyNumberFormat="1" applyFont="1" applyFill="1"/>
    <xf numFmtId="164" fontId="4" fillId="0" borderId="0" xfId="3" applyFont="1"/>
    <xf numFmtId="166" fontId="9" fillId="4" borderId="0" xfId="0" applyNumberFormat="1" applyFont="1" applyFill="1" applyAlignment="1">
      <alignment horizontal="center"/>
    </xf>
    <xf numFmtId="0" fontId="21" fillId="0" borderId="0" xfId="0" applyFont="1" applyAlignment="1">
      <alignment wrapText="1"/>
    </xf>
    <xf numFmtId="43" fontId="2" fillId="0" borderId="11" xfId="0" applyNumberFormat="1" applyFont="1" applyBorder="1"/>
    <xf numFmtId="2" fontId="23" fillId="0" borderId="0" xfId="2" applyNumberFormat="1" applyFont="1" applyFill="1"/>
    <xf numFmtId="4" fontId="23" fillId="0" borderId="0" xfId="3" applyNumberFormat="1" applyFont="1" applyFill="1"/>
    <xf numFmtId="4" fontId="5" fillId="0" borderId="0" xfId="3" applyNumberFormat="1" applyFont="1" applyFill="1"/>
    <xf numFmtId="171" fontId="0" fillId="0" borderId="0" xfId="0" applyNumberFormat="1"/>
    <xf numFmtId="2" fontId="0" fillId="0" borderId="0" xfId="2" applyNumberFormat="1" applyFont="1" applyFill="1"/>
    <xf numFmtId="9" fontId="11" fillId="0" borderId="0" xfId="0" applyNumberFormat="1" applyFont="1" applyAlignment="1">
      <alignment horizontal="center"/>
    </xf>
    <xf numFmtId="2" fontId="0" fillId="0" borderId="0" xfId="2" applyNumberFormat="1" applyFont="1" applyFill="1" applyBorder="1"/>
    <xf numFmtId="167" fontId="2" fillId="0" borderId="0" xfId="0" applyNumberFormat="1" applyFont="1" applyAlignment="1">
      <alignment horizontal="center"/>
    </xf>
    <xf numFmtId="0" fontId="2" fillId="0" borderId="0" xfId="0" quotePrefix="1" applyFont="1"/>
    <xf numFmtId="1" fontId="2" fillId="0" borderId="0" xfId="0" quotePrefix="1" applyNumberFormat="1" applyFont="1" applyAlignment="1">
      <alignment horizontal="center"/>
    </xf>
    <xf numFmtId="2" fontId="5" fillId="0" borderId="0" xfId="2" applyNumberFormat="1" applyFont="1" applyFill="1"/>
    <xf numFmtId="0" fontId="2" fillId="0" borderId="2" xfId="0" applyFont="1" applyBorder="1"/>
    <xf numFmtId="0" fontId="25" fillId="0" borderId="0" xfId="0" applyFont="1"/>
    <xf numFmtId="0" fontId="7" fillId="4" borderId="0" xfId="0" applyFont="1" applyFill="1"/>
    <xf numFmtId="0" fontId="5" fillId="4" borderId="0" xfId="0" applyFont="1" applyFill="1"/>
    <xf numFmtId="0" fontId="11" fillId="4" borderId="0" xfId="0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4" fontId="5" fillId="4" borderId="0" xfId="0" applyNumberFormat="1" applyFont="1" applyFill="1" applyAlignment="1">
      <alignment horizontal="right"/>
    </xf>
    <xf numFmtId="4" fontId="2" fillId="4" borderId="0" xfId="0" applyNumberFormat="1" applyFont="1" applyFill="1" applyAlignment="1">
      <alignment horizontal="right"/>
    </xf>
    <xf numFmtId="0" fontId="0" fillId="4" borderId="0" xfId="0" applyFill="1"/>
    <xf numFmtId="0" fontId="2" fillId="4" borderId="0" xfId="0" applyFont="1" applyFill="1"/>
    <xf numFmtId="166" fontId="2" fillId="4" borderId="0" xfId="0" applyNumberFormat="1" applyFont="1" applyFill="1"/>
    <xf numFmtId="0" fontId="8" fillId="4" borderId="0" xfId="0" applyFont="1" applyFill="1" applyAlignment="1">
      <alignment horizontal="center" wrapText="1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2" fontId="9" fillId="4" borderId="0" xfId="0" applyNumberFormat="1" applyFont="1" applyFill="1" applyAlignment="1">
      <alignment horizontal="center"/>
    </xf>
    <xf numFmtId="166" fontId="9" fillId="4" borderId="0" xfId="0" applyNumberFormat="1" applyFont="1" applyFill="1" applyAlignment="1">
      <alignment horizontal="left"/>
    </xf>
    <xf numFmtId="9" fontId="11" fillId="4" borderId="0" xfId="0" applyNumberFormat="1" applyFont="1" applyFill="1" applyAlignment="1">
      <alignment horizontal="center" wrapText="1"/>
    </xf>
    <xf numFmtId="0" fontId="8" fillId="4" borderId="0" xfId="0" applyFont="1" applyFill="1" applyAlignment="1">
      <alignment horizontal="center"/>
    </xf>
    <xf numFmtId="167" fontId="9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166" fontId="0" fillId="4" borderId="0" xfId="0" applyNumberFormat="1" applyFill="1"/>
    <xf numFmtId="3" fontId="0" fillId="4" borderId="0" xfId="0" applyNumberFormat="1" applyFill="1"/>
    <xf numFmtId="168" fontId="2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justify"/>
    </xf>
    <xf numFmtId="168" fontId="0" fillId="4" borderId="0" xfId="0" applyNumberFormat="1" applyFill="1"/>
    <xf numFmtId="168" fontId="0" fillId="4" borderId="0" xfId="0" applyNumberFormat="1" applyFill="1" applyAlignment="1">
      <alignment horizontal="justify"/>
    </xf>
    <xf numFmtId="166" fontId="0" fillId="4" borderId="0" xfId="0" applyNumberFormat="1" applyFill="1" applyAlignment="1">
      <alignment horizontal="justify"/>
    </xf>
    <xf numFmtId="168" fontId="2" fillId="4" borderId="0" xfId="0" applyNumberFormat="1" applyFont="1" applyFill="1" applyAlignment="1">
      <alignment horizontal="justify"/>
    </xf>
    <xf numFmtId="0" fontId="2" fillId="4" borderId="0" xfId="0" applyFont="1" applyFill="1" applyAlignment="1">
      <alignment horizontal="justify"/>
    </xf>
    <xf numFmtId="166" fontId="2" fillId="4" borderId="0" xfId="0" applyNumberFormat="1" applyFont="1" applyFill="1" applyAlignment="1">
      <alignment horizontal="justify"/>
    </xf>
    <xf numFmtId="0" fontId="3" fillId="4" borderId="0" xfId="0" applyFont="1" applyFill="1"/>
    <xf numFmtId="168" fontId="3" fillId="4" borderId="0" xfId="2" applyNumberFormat="1" applyFont="1" applyFill="1"/>
    <xf numFmtId="168" fontId="3" fillId="4" borderId="0" xfId="2" applyNumberFormat="1" applyFont="1" applyFill="1" applyAlignment="1">
      <alignment horizontal="right"/>
    </xf>
    <xf numFmtId="0" fontId="8" fillId="4" borderId="0" xfId="0" applyFont="1" applyFill="1" applyAlignment="1">
      <alignment horizontal="left"/>
    </xf>
    <xf numFmtId="2" fontId="8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left" wrapText="1"/>
    </xf>
    <xf numFmtId="167" fontId="8" fillId="4" borderId="0" xfId="0" applyNumberFormat="1" applyFont="1" applyFill="1" applyAlignment="1">
      <alignment horizontal="left" wrapText="1"/>
    </xf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2" fontId="9" fillId="4" borderId="0" xfId="0" applyNumberFormat="1" applyFont="1" applyFill="1" applyAlignment="1">
      <alignment horizontal="left"/>
    </xf>
    <xf numFmtId="167" fontId="9" fillId="4" borderId="0" xfId="0" applyNumberFormat="1" applyFont="1" applyFill="1" applyAlignment="1">
      <alignment horizontal="left" wrapText="1"/>
    </xf>
    <xf numFmtId="10" fontId="9" fillId="4" borderId="0" xfId="0" applyNumberFormat="1" applyFont="1" applyFill="1" applyAlignment="1">
      <alignment horizontal="center"/>
    </xf>
    <xf numFmtId="169" fontId="9" fillId="4" borderId="0" xfId="0" applyNumberFormat="1" applyFont="1" applyFill="1" applyAlignment="1">
      <alignment horizontal="left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/>
    <xf numFmtId="0" fontId="0" fillId="4" borderId="3" xfId="0" applyFill="1" applyBorder="1"/>
    <xf numFmtId="0" fontId="5" fillId="4" borderId="3" xfId="0" applyFont="1" applyFill="1" applyBorder="1"/>
    <xf numFmtId="0" fontId="9" fillId="4" borderId="3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center" wrapText="1"/>
    </xf>
    <xf numFmtId="2" fontId="9" fillId="4" borderId="3" xfId="0" applyNumberFormat="1" applyFont="1" applyFill="1" applyBorder="1" applyAlignment="1">
      <alignment horizontal="center"/>
    </xf>
    <xf numFmtId="10" fontId="9" fillId="4" borderId="3" xfId="0" applyNumberFormat="1" applyFont="1" applyFill="1" applyBorder="1" applyAlignment="1">
      <alignment horizontal="center"/>
    </xf>
    <xf numFmtId="2" fontId="9" fillId="4" borderId="3" xfId="0" applyNumberFormat="1" applyFont="1" applyFill="1" applyBorder="1" applyAlignment="1">
      <alignment horizontal="left"/>
    </xf>
    <xf numFmtId="166" fontId="9" fillId="4" borderId="3" xfId="0" applyNumberFormat="1" applyFont="1" applyFill="1" applyBorder="1" applyAlignment="1">
      <alignment horizontal="left"/>
    </xf>
    <xf numFmtId="169" fontId="9" fillId="4" borderId="3" xfId="0" applyNumberFormat="1" applyFont="1" applyFill="1" applyBorder="1" applyAlignment="1">
      <alignment horizontal="left"/>
    </xf>
    <xf numFmtId="4" fontId="5" fillId="4" borderId="3" xfId="0" applyNumberFormat="1" applyFont="1" applyFill="1" applyBorder="1" applyAlignment="1">
      <alignment horizontal="right"/>
    </xf>
    <xf numFmtId="2" fontId="7" fillId="4" borderId="3" xfId="0" applyNumberFormat="1" applyFont="1" applyFill="1" applyBorder="1" applyAlignment="1">
      <alignment horizontal="center"/>
    </xf>
    <xf numFmtId="0" fontId="7" fillId="4" borderId="3" xfId="0" applyFont="1" applyFill="1" applyBorder="1"/>
    <xf numFmtId="0" fontId="7" fillId="4" borderId="0" xfId="0" applyFont="1" applyFill="1" applyAlignment="1">
      <alignment horizontal="left"/>
    </xf>
    <xf numFmtId="0" fontId="7" fillId="4" borderId="3" xfId="0" applyFont="1" applyFill="1" applyBorder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3" fontId="0" fillId="4" borderId="0" xfId="0" applyNumberFormat="1" applyFill="1"/>
    <xf numFmtId="0" fontId="0" fillId="4" borderId="0" xfId="0" applyFill="1" applyAlignment="1">
      <alignment horizontal="left"/>
    </xf>
    <xf numFmtId="3" fontId="3" fillId="4" borderId="0" xfId="0" applyNumberFormat="1" applyFont="1" applyFill="1" applyAlignment="1">
      <alignment horizontal="center"/>
    </xf>
    <xf numFmtId="2" fontId="0" fillId="4" borderId="0" xfId="0" applyNumberFormat="1" applyFill="1"/>
    <xf numFmtId="3" fontId="3" fillId="4" borderId="0" xfId="0" applyNumberFormat="1" applyFont="1" applyFill="1"/>
    <xf numFmtId="2" fontId="0" fillId="4" borderId="0" xfId="0" applyNumberFormat="1" applyFill="1" applyAlignment="1">
      <alignment horizontal="justify"/>
    </xf>
    <xf numFmtId="0" fontId="0" fillId="4" borderId="0" xfId="0" applyFill="1" applyAlignment="1">
      <alignment horizontal="right"/>
    </xf>
    <xf numFmtId="43" fontId="0" fillId="4" borderId="0" xfId="0" applyNumberFormat="1" applyFill="1" applyAlignment="1">
      <alignment horizontal="left"/>
    </xf>
    <xf numFmtId="168" fontId="1" fillId="4" borderId="0" xfId="2" applyNumberFormat="1" applyFill="1" applyAlignment="1">
      <alignment horizontal="right"/>
    </xf>
    <xf numFmtId="168" fontId="1" fillId="4" borderId="0" xfId="2" applyNumberFormat="1" applyFill="1" applyAlignment="1">
      <alignment horizontal="left"/>
    </xf>
    <xf numFmtId="168" fontId="16" fillId="4" borderId="0" xfId="0" applyNumberFormat="1" applyFont="1" applyFill="1" applyAlignment="1">
      <alignment horizontal="right"/>
    </xf>
    <xf numFmtId="2" fontId="2" fillId="4" borderId="0" xfId="0" applyNumberFormat="1" applyFont="1" applyFill="1" applyAlignment="1">
      <alignment horizontal="justify"/>
    </xf>
    <xf numFmtId="168" fontId="1" fillId="4" borderId="0" xfId="2" applyNumberFormat="1" applyFill="1" applyAlignment="1">
      <alignment horizontal="justify"/>
    </xf>
    <xf numFmtId="0" fontId="15" fillId="4" borderId="0" xfId="0" applyFont="1" applyFill="1" applyAlignment="1">
      <alignment horizontal="left"/>
    </xf>
    <xf numFmtId="168" fontId="2" fillId="4" borderId="0" xfId="2" applyNumberFormat="1" applyFont="1" applyFill="1"/>
    <xf numFmtId="168" fontId="2" fillId="4" borderId="0" xfId="2" applyNumberFormat="1" applyFont="1" applyFill="1" applyAlignment="1">
      <alignment horizontal="left"/>
    </xf>
    <xf numFmtId="168" fontId="2" fillId="4" borderId="0" xfId="0" applyNumberFormat="1" applyFont="1" applyFill="1"/>
    <xf numFmtId="168" fontId="1" fillId="4" borderId="0" xfId="2" applyNumberFormat="1" applyFill="1"/>
    <xf numFmtId="2" fontId="2" fillId="4" borderId="0" xfId="0" applyNumberFormat="1" applyFont="1" applyFill="1"/>
    <xf numFmtId="168" fontId="5" fillId="4" borderId="0" xfId="2" applyNumberFormat="1" applyFont="1" applyFill="1"/>
    <xf numFmtId="168" fontId="3" fillId="4" borderId="0" xfId="0" applyNumberFormat="1" applyFont="1" applyFill="1"/>
    <xf numFmtId="0" fontId="5" fillId="4" borderId="0" xfId="0" applyFont="1" applyFill="1" applyAlignment="1">
      <alignment horizontal="justify"/>
    </xf>
    <xf numFmtId="0" fontId="3" fillId="4" borderId="0" xfId="0" applyFont="1" applyFill="1" applyAlignment="1">
      <alignment horizontal="center"/>
    </xf>
    <xf numFmtId="2" fontId="3" fillId="4" borderId="0" xfId="0" applyNumberFormat="1" applyFont="1" applyFill="1"/>
    <xf numFmtId="166" fontId="3" fillId="4" borderId="0" xfId="0" applyNumberFormat="1" applyFont="1" applyFill="1"/>
    <xf numFmtId="0" fontId="5" fillId="4" borderId="4" xfId="0" applyFont="1" applyFill="1" applyBorder="1"/>
    <xf numFmtId="0" fontId="5" fillId="4" borderId="8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168" fontId="3" fillId="4" borderId="0" xfId="2" applyNumberFormat="1" applyFont="1" applyFill="1" applyAlignment="1">
      <alignment horizontal="left"/>
    </xf>
    <xf numFmtId="0" fontId="5" fillId="4" borderId="7" xfId="0" applyFont="1" applyFill="1" applyBorder="1"/>
    <xf numFmtId="0" fontId="5" fillId="4" borderId="9" xfId="0" applyFont="1" applyFill="1" applyBorder="1"/>
    <xf numFmtId="41" fontId="1" fillId="4" borderId="0" xfId="2" applyFont="1" applyFill="1"/>
    <xf numFmtId="0" fontId="36" fillId="4" borderId="0" xfId="0" applyFont="1" applyFill="1"/>
    <xf numFmtId="0" fontId="36" fillId="4" borderId="3" xfId="0" applyFont="1" applyFill="1" applyBorder="1"/>
    <xf numFmtId="1" fontId="7" fillId="0" borderId="0" xfId="0" applyNumberFormat="1" applyFont="1" applyAlignment="1">
      <alignment horizontal="center"/>
    </xf>
    <xf numFmtId="0" fontId="37" fillId="4" borderId="0" xfId="0" applyFont="1" applyFill="1" applyAlignment="1">
      <alignment horizontal="center"/>
    </xf>
    <xf numFmtId="0" fontId="37" fillId="4" borderId="0" xfId="0" applyFont="1" applyFill="1"/>
    <xf numFmtId="0" fontId="37" fillId="4" borderId="0" xfId="0" applyFont="1" applyFill="1" applyAlignment="1">
      <alignment horizontal="left"/>
    </xf>
    <xf numFmtId="0" fontId="38" fillId="4" borderId="0" xfId="0" applyFont="1" applyFill="1" applyAlignment="1">
      <alignment horizontal="center" wrapText="1"/>
    </xf>
    <xf numFmtId="2" fontId="37" fillId="4" borderId="0" xfId="0" applyNumberFormat="1" applyFont="1" applyFill="1" applyAlignment="1">
      <alignment horizontal="center"/>
    </xf>
    <xf numFmtId="10" fontId="37" fillId="4" borderId="0" xfId="0" applyNumberFormat="1" applyFont="1" applyFill="1" applyAlignment="1">
      <alignment horizontal="center"/>
    </xf>
    <xf numFmtId="2" fontId="37" fillId="4" borderId="0" xfId="0" applyNumberFormat="1" applyFont="1" applyFill="1" applyAlignment="1">
      <alignment horizontal="left"/>
    </xf>
    <xf numFmtId="166" fontId="37" fillId="4" borderId="0" xfId="0" applyNumberFormat="1" applyFont="1" applyFill="1" applyAlignment="1">
      <alignment horizontal="left"/>
    </xf>
    <xf numFmtId="169" fontId="37" fillId="4" borderId="0" xfId="0" applyNumberFormat="1" applyFont="1" applyFill="1" applyAlignment="1">
      <alignment horizontal="left"/>
    </xf>
    <xf numFmtId="4" fontId="36" fillId="4" borderId="0" xfId="0" applyNumberFormat="1" applyFont="1" applyFill="1" applyAlignment="1">
      <alignment horizontal="right"/>
    </xf>
    <xf numFmtId="0" fontId="37" fillId="4" borderId="3" xfId="0" applyFont="1" applyFill="1" applyBorder="1" applyAlignment="1">
      <alignment horizontal="center"/>
    </xf>
    <xf numFmtId="0" fontId="37" fillId="4" borderId="3" xfId="0" applyFont="1" applyFill="1" applyBorder="1"/>
    <xf numFmtId="0" fontId="37" fillId="4" borderId="3" xfId="0" applyFont="1" applyFill="1" applyBorder="1" applyAlignment="1">
      <alignment horizontal="left"/>
    </xf>
    <xf numFmtId="0" fontId="38" fillId="4" borderId="3" xfId="0" applyFont="1" applyFill="1" applyBorder="1" applyAlignment="1">
      <alignment horizontal="center" wrapText="1"/>
    </xf>
    <xf numFmtId="2" fontId="37" fillId="4" borderId="3" xfId="0" applyNumberFormat="1" applyFont="1" applyFill="1" applyBorder="1" applyAlignment="1">
      <alignment horizontal="center"/>
    </xf>
    <xf numFmtId="10" fontId="37" fillId="4" borderId="3" xfId="0" applyNumberFormat="1" applyFont="1" applyFill="1" applyBorder="1" applyAlignment="1">
      <alignment horizontal="center"/>
    </xf>
    <xf numFmtId="2" fontId="37" fillId="4" borderId="3" xfId="0" applyNumberFormat="1" applyFont="1" applyFill="1" applyBorder="1" applyAlignment="1">
      <alignment horizontal="left"/>
    </xf>
    <xf numFmtId="169" fontId="37" fillId="4" borderId="3" xfId="0" applyNumberFormat="1" applyFont="1" applyFill="1" applyBorder="1" applyAlignment="1">
      <alignment horizontal="left"/>
    </xf>
    <xf numFmtId="4" fontId="36" fillId="4" borderId="3" xfId="0" applyNumberFormat="1" applyFont="1" applyFill="1" applyBorder="1" applyAlignment="1">
      <alignment horizontal="right"/>
    </xf>
    <xf numFmtId="4" fontId="39" fillId="4" borderId="0" xfId="0" applyNumberFormat="1" applyFont="1" applyFill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4" xfId="0" applyNumberFormat="1" applyFont="1" applyBorder="1"/>
    <xf numFmtId="43" fontId="2" fillId="0" borderId="12" xfId="0" applyNumberFormat="1" applyFont="1" applyBorder="1"/>
    <xf numFmtId="43" fontId="5" fillId="0" borderId="12" xfId="0" applyNumberFormat="1" applyFont="1" applyBorder="1"/>
    <xf numFmtId="166" fontId="7" fillId="0" borderId="0" xfId="0" applyNumberFormat="1" applyFont="1" applyAlignment="1">
      <alignment horizontal="center"/>
    </xf>
    <xf numFmtId="2" fontId="26" fillId="0" borderId="0" xfId="2" applyNumberFormat="1" applyFont="1" applyFill="1"/>
    <xf numFmtId="0" fontId="7" fillId="0" borderId="0" xfId="0" applyFont="1" applyAlignment="1">
      <alignment horizontal="left"/>
    </xf>
    <xf numFmtId="10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left"/>
    </xf>
    <xf numFmtId="169" fontId="9" fillId="0" borderId="0" xfId="0" applyNumberFormat="1" applyFont="1" applyAlignment="1">
      <alignment horizontal="left"/>
    </xf>
    <xf numFmtId="0" fontId="7" fillId="0" borderId="3" xfId="0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10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left"/>
    </xf>
    <xf numFmtId="166" fontId="9" fillId="0" borderId="3" xfId="0" applyNumberFormat="1" applyFont="1" applyBorder="1" applyAlignment="1">
      <alignment horizontal="left"/>
    </xf>
    <xf numFmtId="169" fontId="9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3" xfId="0" applyFont="1" applyBorder="1"/>
    <xf numFmtId="0" fontId="7" fillId="0" borderId="3" xfId="0" applyFont="1" applyBorder="1" applyAlignment="1">
      <alignment horizontal="left"/>
    </xf>
    <xf numFmtId="9" fontId="11" fillId="0" borderId="3" xfId="0" applyNumberFormat="1" applyFont="1" applyBorder="1" applyAlignment="1">
      <alignment horizontal="center" wrapText="1"/>
    </xf>
    <xf numFmtId="168" fontId="21" fillId="0" borderId="0" xfId="2" applyNumberFormat="1" applyFont="1" applyFill="1" applyBorder="1"/>
    <xf numFmtId="4" fontId="21" fillId="0" borderId="0" xfId="3" applyNumberFormat="1" applyFont="1" applyFill="1"/>
    <xf numFmtId="166" fontId="21" fillId="0" borderId="0" xfId="0" applyNumberFormat="1" applyFont="1"/>
    <xf numFmtId="168" fontId="21" fillId="0" borderId="0" xfId="2" applyNumberFormat="1" applyFont="1" applyFill="1"/>
    <xf numFmtId="2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left"/>
    </xf>
    <xf numFmtId="4" fontId="21" fillId="0" borderId="0" xfId="3" applyNumberFormat="1" applyFont="1" applyFill="1" applyBorder="1"/>
    <xf numFmtId="41" fontId="21" fillId="0" borderId="0" xfId="2" applyFont="1" applyFill="1" applyBorder="1"/>
    <xf numFmtId="164" fontId="21" fillId="0" borderId="0" xfId="3" applyFont="1" applyFill="1" applyBorder="1"/>
    <xf numFmtId="41" fontId="20" fillId="0" borderId="0" xfId="2" applyFont="1" applyFill="1" applyAlignment="1">
      <alignment horizontal="center"/>
    </xf>
    <xf numFmtId="164" fontId="20" fillId="0" borderId="0" xfId="3" applyFont="1" applyFill="1" applyAlignment="1">
      <alignment horizontal="center"/>
    </xf>
    <xf numFmtId="168" fontId="20" fillId="0" borderId="0" xfId="2" applyNumberFormat="1" applyFont="1" applyFill="1" applyAlignment="1"/>
    <xf numFmtId="168" fontId="20" fillId="0" borderId="0" xfId="2" applyNumberFormat="1" applyFont="1" applyFill="1" applyAlignment="1">
      <alignment horizontal="right"/>
    </xf>
    <xf numFmtId="4" fontId="20" fillId="0" borderId="0" xfId="3" applyNumberFormat="1" applyFont="1" applyFill="1"/>
    <xf numFmtId="3" fontId="20" fillId="0" borderId="0" xfId="0" applyNumberFormat="1" applyFont="1" applyAlignment="1">
      <alignment horizontal="center"/>
    </xf>
    <xf numFmtId="41" fontId="21" fillId="0" borderId="0" xfId="2" applyFont="1" applyFill="1"/>
    <xf numFmtId="164" fontId="21" fillId="0" borderId="0" xfId="3" applyFont="1" applyFill="1"/>
    <xf numFmtId="43" fontId="20" fillId="0" borderId="0" xfId="1" applyFont="1" applyFill="1"/>
    <xf numFmtId="3" fontId="20" fillId="0" borderId="0" xfId="0" applyNumberFormat="1" applyFont="1"/>
    <xf numFmtId="41" fontId="20" fillId="0" borderId="0" xfId="2" applyFont="1" applyFill="1" applyBorder="1"/>
    <xf numFmtId="164" fontId="20" fillId="0" borderId="0" xfId="3" applyFont="1" applyFill="1" applyBorder="1"/>
    <xf numFmtId="0" fontId="21" fillId="0" borderId="1" xfId="0" applyFont="1" applyBorder="1"/>
    <xf numFmtId="43" fontId="21" fillId="0" borderId="0" xfId="1" applyFont="1" applyFill="1" applyAlignment="1">
      <alignment horizontal="center"/>
    </xf>
    <xf numFmtId="41" fontId="20" fillId="0" borderId="0" xfId="2" applyFont="1" applyFill="1"/>
    <xf numFmtId="164" fontId="20" fillId="0" borderId="0" xfId="3" applyFont="1" applyFill="1"/>
    <xf numFmtId="0" fontId="32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6" fontId="32" fillId="0" borderId="0" xfId="0" applyNumberFormat="1" applyFont="1"/>
    <xf numFmtId="0" fontId="32" fillId="0" borderId="2" xfId="0" applyFont="1" applyBorder="1" applyAlignment="1">
      <alignment horizontal="center"/>
    </xf>
    <xf numFmtId="0" fontId="32" fillId="0" borderId="15" xfId="0" applyFont="1" applyBorder="1"/>
    <xf numFmtId="0" fontId="32" fillId="0" borderId="1" xfId="0" applyFont="1" applyBorder="1"/>
    <xf numFmtId="0" fontId="32" fillId="0" borderId="12" xfId="0" applyFont="1" applyBorder="1"/>
    <xf numFmtId="0" fontId="29" fillId="0" borderId="13" xfId="0" applyFont="1" applyBorder="1" applyAlignment="1">
      <alignment horizontal="left"/>
    </xf>
    <xf numFmtId="4" fontId="29" fillId="0" borderId="14" xfId="0" applyNumberFormat="1" applyFont="1" applyBorder="1"/>
    <xf numFmtId="0" fontId="29" fillId="0" borderId="1" xfId="0" applyFont="1" applyBorder="1" applyAlignment="1">
      <alignment horizontal="left"/>
    </xf>
    <xf numFmtId="0" fontId="29" fillId="0" borderId="19" xfId="0" applyFont="1" applyBorder="1"/>
    <xf numFmtId="0" fontId="30" fillId="0" borderId="1" xfId="0" applyFont="1" applyBorder="1" applyAlignment="1">
      <alignment horizontal="left"/>
    </xf>
    <xf numFmtId="4" fontId="30" fillId="0" borderId="12" xfId="0" applyNumberFormat="1" applyFont="1" applyBorder="1"/>
    <xf numFmtId="0" fontId="29" fillId="0" borderId="12" xfId="0" applyFont="1" applyBorder="1"/>
    <xf numFmtId="4" fontId="29" fillId="0" borderId="12" xfId="0" applyNumberFormat="1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43" fontId="29" fillId="0" borderId="0" xfId="1" applyFont="1" applyBorder="1"/>
    <xf numFmtId="43" fontId="29" fillId="0" borderId="12" xfId="1" applyFont="1" applyBorder="1"/>
    <xf numFmtId="4" fontId="29" fillId="0" borderId="2" xfId="0" applyNumberFormat="1" applyFont="1" applyBorder="1"/>
    <xf numFmtId="43" fontId="29" fillId="0" borderId="11" xfId="1" applyFont="1" applyBorder="1"/>
    <xf numFmtId="43" fontId="29" fillId="0" borderId="15" xfId="1" applyFont="1" applyBorder="1"/>
    <xf numFmtId="0" fontId="30" fillId="0" borderId="0" xfId="0" applyFont="1"/>
    <xf numFmtId="0" fontId="30" fillId="0" borderId="12" xfId="0" applyFont="1" applyBorder="1"/>
    <xf numFmtId="43" fontId="5" fillId="0" borderId="0" xfId="1" applyFont="1" applyFill="1"/>
    <xf numFmtId="166" fontId="7" fillId="4" borderId="0" xfId="0" applyNumberFormat="1" applyFont="1" applyFill="1" applyAlignment="1">
      <alignment horizontal="left"/>
    </xf>
    <xf numFmtId="2" fontId="7" fillId="0" borderId="0" xfId="0" applyNumberFormat="1" applyFont="1" applyAlignment="1">
      <alignment horizontal="center"/>
    </xf>
    <xf numFmtId="2" fontId="7" fillId="0" borderId="3" xfId="0" applyNumberFormat="1" applyFont="1" applyBorder="1" applyAlignment="1">
      <alignment horizontal="center"/>
    </xf>
    <xf numFmtId="10" fontId="7" fillId="4" borderId="0" xfId="0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left"/>
    </xf>
    <xf numFmtId="169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0" fontId="7" fillId="4" borderId="3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center"/>
    </xf>
    <xf numFmtId="169" fontId="7" fillId="4" borderId="0" xfId="0" applyNumberFormat="1" applyFont="1" applyFill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0" fontId="40" fillId="0" borderId="0" xfId="0" applyFont="1" applyAlignment="1">
      <alignment horizontal="center" wrapText="1"/>
    </xf>
    <xf numFmtId="10" fontId="35" fillId="0" borderId="0" xfId="0" applyNumberFormat="1" applyFont="1" applyAlignment="1">
      <alignment horizontal="center"/>
    </xf>
    <xf numFmtId="166" fontId="35" fillId="0" borderId="0" xfId="0" applyNumberFormat="1" applyFont="1" applyAlignment="1">
      <alignment horizontal="left"/>
    </xf>
    <xf numFmtId="0" fontId="35" fillId="0" borderId="3" xfId="0" applyFont="1" applyBorder="1" applyAlignment="1">
      <alignment horizontal="center"/>
    </xf>
    <xf numFmtId="0" fontId="35" fillId="0" borderId="3" xfId="0" applyFont="1" applyBorder="1"/>
    <xf numFmtId="0" fontId="33" fillId="0" borderId="3" xfId="0" applyFont="1" applyBorder="1"/>
    <xf numFmtId="0" fontId="35" fillId="0" borderId="3" xfId="0" applyFont="1" applyBorder="1" applyAlignment="1">
      <alignment horizontal="left"/>
    </xf>
    <xf numFmtId="0" fontId="40" fillId="0" borderId="3" xfId="0" applyFont="1" applyBorder="1" applyAlignment="1">
      <alignment horizontal="center" wrapText="1"/>
    </xf>
    <xf numFmtId="2" fontId="35" fillId="0" borderId="3" xfId="0" applyNumberFormat="1" applyFont="1" applyBorder="1" applyAlignment="1">
      <alignment horizontal="center"/>
    </xf>
    <xf numFmtId="10" fontId="35" fillId="0" borderId="3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left"/>
    </xf>
    <xf numFmtId="166" fontId="35" fillId="0" borderId="3" xfId="0" applyNumberFormat="1" applyFont="1" applyBorder="1" applyAlignment="1">
      <alignment horizontal="left"/>
    </xf>
    <xf numFmtId="169" fontId="35" fillId="0" borderId="3" xfId="0" applyNumberFormat="1" applyFont="1" applyBorder="1" applyAlignment="1">
      <alignment horizontal="left"/>
    </xf>
    <xf numFmtId="4" fontId="33" fillId="0" borderId="3" xfId="0" applyNumberFormat="1" applyFont="1" applyBorder="1" applyAlignment="1">
      <alignment horizontal="right"/>
    </xf>
    <xf numFmtId="0" fontId="41" fillId="4" borderId="0" xfId="0" applyFont="1" applyFill="1" applyAlignment="1">
      <alignment horizontal="center"/>
    </xf>
    <xf numFmtId="0" fontId="41" fillId="4" borderId="0" xfId="0" applyFont="1" applyFill="1"/>
    <xf numFmtId="0" fontId="42" fillId="4" borderId="0" xfId="0" applyFont="1" applyFill="1"/>
    <xf numFmtId="0" fontId="41" fillId="4" borderId="0" xfId="0" applyFont="1" applyFill="1" applyAlignment="1">
      <alignment horizontal="left"/>
    </xf>
    <xf numFmtId="0" fontId="43" fillId="4" borderId="0" xfId="0" applyFont="1" applyFill="1" applyAlignment="1">
      <alignment horizontal="center" wrapText="1"/>
    </xf>
    <xf numFmtId="2" fontId="41" fillId="4" borderId="0" xfId="0" applyNumberFormat="1" applyFont="1" applyFill="1" applyAlignment="1">
      <alignment horizontal="center"/>
    </xf>
    <xf numFmtId="10" fontId="41" fillId="4" borderId="0" xfId="0" applyNumberFormat="1" applyFont="1" applyFill="1" applyAlignment="1">
      <alignment horizontal="center"/>
    </xf>
    <xf numFmtId="2" fontId="41" fillId="4" borderId="0" xfId="0" applyNumberFormat="1" applyFont="1" applyFill="1" applyAlignment="1">
      <alignment horizontal="left"/>
    </xf>
    <xf numFmtId="166" fontId="41" fillId="4" borderId="0" xfId="0" applyNumberFormat="1" applyFont="1" applyFill="1" applyAlignment="1">
      <alignment horizontal="left"/>
    </xf>
    <xf numFmtId="169" fontId="41" fillId="4" borderId="0" xfId="0" applyNumberFormat="1" applyFont="1" applyFill="1" applyAlignment="1">
      <alignment horizontal="left"/>
    </xf>
    <xf numFmtId="4" fontId="42" fillId="4" borderId="0" xfId="0" applyNumberFormat="1" applyFont="1" applyFill="1" applyAlignment="1">
      <alignment horizontal="right"/>
    </xf>
    <xf numFmtId="4" fontId="44" fillId="4" borderId="0" xfId="0" applyNumberFormat="1" applyFont="1" applyFill="1" applyAlignment="1">
      <alignment horizontal="right"/>
    </xf>
    <xf numFmtId="0" fontId="41" fillId="4" borderId="3" xfId="0" applyFont="1" applyFill="1" applyBorder="1" applyAlignment="1">
      <alignment horizontal="center"/>
    </xf>
    <xf numFmtId="0" fontId="41" fillId="4" borderId="3" xfId="0" applyFont="1" applyFill="1" applyBorder="1"/>
    <xf numFmtId="0" fontId="42" fillId="4" borderId="3" xfId="0" applyFont="1" applyFill="1" applyBorder="1"/>
    <xf numFmtId="0" fontId="41" fillId="4" borderId="3" xfId="0" applyFont="1" applyFill="1" applyBorder="1" applyAlignment="1">
      <alignment horizontal="left"/>
    </xf>
    <xf numFmtId="0" fontId="43" fillId="4" borderId="3" xfId="0" applyFont="1" applyFill="1" applyBorder="1" applyAlignment="1">
      <alignment horizontal="center" wrapText="1"/>
    </xf>
    <xf numFmtId="2" fontId="41" fillId="4" borderId="3" xfId="0" applyNumberFormat="1" applyFont="1" applyFill="1" applyBorder="1" applyAlignment="1">
      <alignment horizontal="center"/>
    </xf>
    <xf numFmtId="10" fontId="41" fillId="4" borderId="3" xfId="0" applyNumberFormat="1" applyFont="1" applyFill="1" applyBorder="1" applyAlignment="1">
      <alignment horizontal="center"/>
    </xf>
    <xf numFmtId="166" fontId="41" fillId="4" borderId="3" xfId="0" applyNumberFormat="1" applyFont="1" applyFill="1" applyBorder="1" applyAlignment="1">
      <alignment horizontal="left"/>
    </xf>
    <xf numFmtId="169" fontId="41" fillId="4" borderId="3" xfId="0" applyNumberFormat="1" applyFont="1" applyFill="1" applyBorder="1" applyAlignment="1">
      <alignment horizontal="left"/>
    </xf>
    <xf numFmtId="4" fontId="42" fillId="4" borderId="3" xfId="0" applyNumberFormat="1" applyFont="1" applyFill="1" applyBorder="1" applyAlignment="1">
      <alignment horizontal="right"/>
    </xf>
    <xf numFmtId="4" fontId="44" fillId="4" borderId="3" xfId="0" applyNumberFormat="1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166" fontId="35" fillId="0" borderId="0" xfId="0" applyNumberFormat="1" applyFont="1" applyAlignment="1">
      <alignment horizontal="center"/>
    </xf>
    <xf numFmtId="1" fontId="35" fillId="0" borderId="0" xfId="0" applyNumberFormat="1" applyFont="1" applyAlignment="1">
      <alignment horizontal="center"/>
    </xf>
    <xf numFmtId="2" fontId="33" fillId="0" borderId="0" xfId="2" applyNumberFormat="1" applyFont="1" applyFill="1"/>
    <xf numFmtId="4" fontId="33" fillId="0" borderId="0" xfId="3" applyNumberFormat="1" applyFont="1" applyFill="1"/>
    <xf numFmtId="0" fontId="45" fillId="0" borderId="0" xfId="0" applyFont="1" applyAlignment="1">
      <alignment horizontal="center"/>
    </xf>
    <xf numFmtId="0" fontId="45" fillId="0" borderId="0" xfId="0" applyFont="1"/>
    <xf numFmtId="2" fontId="45" fillId="0" borderId="0" xfId="0" applyNumberFormat="1" applyFont="1"/>
    <xf numFmtId="0" fontId="35" fillId="0" borderId="0" xfId="0" applyFont="1" applyAlignment="1">
      <alignment horizontal="left"/>
    </xf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left"/>
    </xf>
    <xf numFmtId="169" fontId="35" fillId="0" borderId="0" xfId="0" applyNumberFormat="1" applyFont="1" applyAlignment="1">
      <alignment horizontal="left"/>
    </xf>
    <xf numFmtId="4" fontId="33" fillId="0" borderId="0" xfId="0" applyNumberFormat="1" applyFont="1" applyAlignment="1">
      <alignment horizontal="right"/>
    </xf>
    <xf numFmtId="165" fontId="39" fillId="0" borderId="0" xfId="2" applyNumberFormat="1" applyFont="1"/>
    <xf numFmtId="165" fontId="39" fillId="0" borderId="0" xfId="2" applyNumberFormat="1" applyFont="1" applyAlignment="1">
      <alignment wrapText="1"/>
    </xf>
    <xf numFmtId="4" fontId="5" fillId="0" borderId="18" xfId="3" applyNumberFormat="1" applyFont="1" applyBorder="1"/>
    <xf numFmtId="4" fontId="2" fillId="4" borderId="18" xfId="0" applyNumberFormat="1" applyFont="1" applyFill="1" applyBorder="1" applyAlignment="1">
      <alignment horizontal="right"/>
    </xf>
    <xf numFmtId="0" fontId="0" fillId="4" borderId="21" xfId="0" applyFill="1" applyBorder="1"/>
    <xf numFmtId="0" fontId="2" fillId="4" borderId="21" xfId="0" applyFont="1" applyFill="1" applyBorder="1"/>
    <xf numFmtId="166" fontId="2" fillId="4" borderId="21" xfId="0" applyNumberFormat="1" applyFont="1" applyFill="1" applyBorder="1"/>
    <xf numFmtId="3" fontId="2" fillId="4" borderId="21" xfId="0" applyNumberFormat="1" applyFont="1" applyFill="1" applyBorder="1"/>
    <xf numFmtId="41" fontId="26" fillId="4" borderId="21" xfId="2" applyFont="1" applyFill="1" applyBorder="1"/>
    <xf numFmtId="164" fontId="26" fillId="4" borderId="21" xfId="3" applyFont="1" applyFill="1" applyBorder="1"/>
    <xf numFmtId="0" fontId="2" fillId="4" borderId="21" xfId="0" applyFont="1" applyFill="1" applyBorder="1" applyAlignment="1">
      <alignment wrapText="1"/>
    </xf>
    <xf numFmtId="0" fontId="8" fillId="4" borderId="21" xfId="0" applyFont="1" applyFill="1" applyBorder="1" applyAlignment="1">
      <alignment horizontal="center" wrapText="1"/>
    </xf>
    <xf numFmtId="3" fontId="8" fillId="4" borderId="21" xfId="0" applyNumberFormat="1" applyFont="1" applyFill="1" applyBorder="1" applyAlignment="1">
      <alignment wrapText="1"/>
    </xf>
    <xf numFmtId="0" fontId="8" fillId="4" borderId="21" xfId="0" applyFont="1" applyFill="1" applyBorder="1" applyAlignment="1">
      <alignment horizontal="center"/>
    </xf>
    <xf numFmtId="0" fontId="8" fillId="4" borderId="21" xfId="0" applyFont="1" applyFill="1" applyBorder="1"/>
    <xf numFmtId="166" fontId="8" fillId="4" borderId="21" xfId="0" applyNumberFormat="1" applyFont="1" applyFill="1" applyBorder="1" applyAlignment="1">
      <alignment horizontal="center"/>
    </xf>
    <xf numFmtId="166" fontId="8" fillId="4" borderId="21" xfId="0" applyNumberFormat="1" applyFont="1" applyFill="1" applyBorder="1" applyAlignment="1">
      <alignment horizontal="left"/>
    </xf>
    <xf numFmtId="4" fontId="2" fillId="4" borderId="21" xfId="0" applyNumberFormat="1" applyFont="1" applyFill="1" applyBorder="1" applyAlignment="1">
      <alignment horizontal="right"/>
    </xf>
    <xf numFmtId="0" fontId="33" fillId="4" borderId="21" xfId="0" applyFont="1" applyFill="1" applyBorder="1"/>
    <xf numFmtId="0" fontId="9" fillId="4" borderId="21" xfId="0" applyFont="1" applyFill="1" applyBorder="1" applyAlignment="1">
      <alignment horizontal="center"/>
    </xf>
    <xf numFmtId="0" fontId="9" fillId="4" borderId="21" xfId="0" applyFont="1" applyFill="1" applyBorder="1"/>
    <xf numFmtId="0" fontId="11" fillId="4" borderId="21" xfId="0" applyFont="1" applyFill="1" applyBorder="1" applyAlignment="1">
      <alignment horizontal="center"/>
    </xf>
    <xf numFmtId="166" fontId="9" fillId="4" borderId="21" xfId="0" applyNumberFormat="1" applyFont="1" applyFill="1" applyBorder="1" applyAlignment="1">
      <alignment horizontal="center"/>
    </xf>
    <xf numFmtId="2" fontId="9" fillId="4" borderId="21" xfId="0" applyNumberFormat="1" applyFont="1" applyFill="1" applyBorder="1" applyAlignment="1">
      <alignment horizontal="center"/>
    </xf>
    <xf numFmtId="169" fontId="9" fillId="4" borderId="21" xfId="0" applyNumberFormat="1" applyFont="1" applyFill="1" applyBorder="1" applyAlignment="1">
      <alignment horizontal="center"/>
    </xf>
    <xf numFmtId="166" fontId="9" fillId="4" borderId="21" xfId="0" applyNumberFormat="1" applyFont="1" applyFill="1" applyBorder="1" applyAlignment="1">
      <alignment horizontal="left"/>
    </xf>
    <xf numFmtId="4" fontId="5" fillId="4" borderId="21" xfId="0" applyNumberFormat="1" applyFont="1" applyFill="1" applyBorder="1" applyAlignment="1">
      <alignment horizontal="right"/>
    </xf>
    <xf numFmtId="167" fontId="0" fillId="4" borderId="21" xfId="0" applyNumberFormat="1" applyFill="1" applyBorder="1"/>
    <xf numFmtId="0" fontId="7" fillId="4" borderId="21" xfId="0" applyFont="1" applyFill="1" applyBorder="1"/>
    <xf numFmtId="0" fontId="11" fillId="4" borderId="21" xfId="0" applyFont="1" applyFill="1" applyBorder="1" applyAlignment="1">
      <alignment horizontal="center" wrapText="1"/>
    </xf>
    <xf numFmtId="9" fontId="11" fillId="4" borderId="21" xfId="0" applyNumberFormat="1" applyFont="1" applyFill="1" applyBorder="1" applyAlignment="1">
      <alignment horizontal="center"/>
    </xf>
    <xf numFmtId="10" fontId="11" fillId="4" borderId="21" xfId="0" applyNumberFormat="1" applyFont="1" applyFill="1" applyBorder="1" applyAlignment="1">
      <alignment horizontal="center"/>
    </xf>
    <xf numFmtId="2" fontId="35" fillId="4" borderId="21" xfId="0" applyNumberFormat="1" applyFont="1" applyFill="1" applyBorder="1" applyAlignment="1">
      <alignment horizontal="center"/>
    </xf>
    <xf numFmtId="4" fontId="33" fillId="4" borderId="21" xfId="0" applyNumberFormat="1" applyFont="1" applyFill="1" applyBorder="1" applyAlignment="1">
      <alignment horizontal="right"/>
    </xf>
    <xf numFmtId="2" fontId="7" fillId="4" borderId="21" xfId="0" applyNumberFormat="1" applyFont="1" applyFill="1" applyBorder="1" applyAlignment="1">
      <alignment horizontal="center"/>
    </xf>
    <xf numFmtId="166" fontId="7" fillId="4" borderId="21" xfId="0" applyNumberFormat="1" applyFont="1" applyFill="1" applyBorder="1" applyAlignment="1">
      <alignment horizontal="center"/>
    </xf>
    <xf numFmtId="169" fontId="7" fillId="4" borderId="21" xfId="0" applyNumberFormat="1" applyFont="1" applyFill="1" applyBorder="1" applyAlignment="1">
      <alignment horizontal="center"/>
    </xf>
    <xf numFmtId="166" fontId="7" fillId="4" borderId="21" xfId="0" applyNumberFormat="1" applyFont="1" applyFill="1" applyBorder="1" applyAlignment="1">
      <alignment horizontal="left"/>
    </xf>
    <xf numFmtId="9" fontId="9" fillId="4" borderId="21" xfId="0" applyNumberFormat="1" applyFont="1" applyFill="1" applyBorder="1" applyAlignment="1">
      <alignment horizontal="center"/>
    </xf>
    <xf numFmtId="0" fontId="5" fillId="4" borderId="21" xfId="0" applyFont="1" applyFill="1" applyBorder="1"/>
    <xf numFmtId="0" fontId="7" fillId="4" borderId="21" xfId="0" applyFont="1" applyFill="1" applyBorder="1" applyAlignment="1">
      <alignment horizontal="center"/>
    </xf>
    <xf numFmtId="0" fontId="35" fillId="4" borderId="21" xfId="0" applyFont="1" applyFill="1" applyBorder="1" applyAlignment="1">
      <alignment horizontal="center"/>
    </xf>
    <xf numFmtId="9" fontId="11" fillId="4" borderId="21" xfId="0" applyNumberFormat="1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166" fontId="8" fillId="4" borderId="21" xfId="0" applyNumberFormat="1" applyFont="1" applyFill="1" applyBorder="1" applyAlignment="1">
      <alignment horizontal="center" wrapText="1"/>
    </xf>
    <xf numFmtId="167" fontId="9" fillId="4" borderId="21" xfId="0" applyNumberFormat="1" applyFont="1" applyFill="1" applyBorder="1" applyAlignment="1">
      <alignment horizontal="left"/>
    </xf>
    <xf numFmtId="41" fontId="8" fillId="4" borderId="21" xfId="2" applyFont="1" applyFill="1" applyBorder="1" applyAlignment="1">
      <alignment horizontal="center" wrapText="1"/>
    </xf>
    <xf numFmtId="164" fontId="8" fillId="4" borderId="21" xfId="3" applyFont="1" applyFill="1" applyBorder="1" applyAlignment="1">
      <alignment horizontal="center"/>
    </xf>
    <xf numFmtId="168" fontId="26" fillId="4" borderId="21" xfId="2" applyNumberFormat="1" applyFont="1" applyFill="1" applyBorder="1"/>
    <xf numFmtId="4" fontId="2" fillId="4" borderId="21" xfId="3" applyNumberFormat="1" applyFont="1" applyFill="1" applyBorder="1"/>
    <xf numFmtId="0" fontId="13" fillId="4" borderId="21" xfId="0" applyFont="1" applyFill="1" applyBorder="1"/>
    <xf numFmtId="4" fontId="26" fillId="4" borderId="21" xfId="3" applyNumberFormat="1" applyFont="1" applyFill="1" applyBorder="1"/>
    <xf numFmtId="168" fontId="14" fillId="4" borderId="21" xfId="2" applyNumberFormat="1" applyFont="1" applyFill="1" applyBorder="1" applyAlignment="1"/>
    <xf numFmtId="3" fontId="8" fillId="4" borderId="21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166" fontId="0" fillId="4" borderId="21" xfId="0" applyNumberFormat="1" applyFill="1" applyBorder="1"/>
    <xf numFmtId="0" fontId="5" fillId="4" borderId="21" xfId="0" applyFont="1" applyFill="1" applyBorder="1" applyAlignment="1">
      <alignment horizontal="center"/>
    </xf>
    <xf numFmtId="166" fontId="5" fillId="4" borderId="21" xfId="0" applyNumberFormat="1" applyFont="1" applyFill="1" applyBorder="1" applyAlignment="1">
      <alignment horizontal="center"/>
    </xf>
    <xf numFmtId="168" fontId="2" fillId="4" borderId="21" xfId="2" applyNumberFormat="1" applyFont="1" applyFill="1" applyBorder="1" applyAlignment="1"/>
    <xf numFmtId="3" fontId="0" fillId="4" borderId="21" xfId="0" applyNumberFormat="1" applyFill="1" applyBorder="1"/>
    <xf numFmtId="0" fontId="2" fillId="4" borderId="21" xfId="0" applyFont="1" applyFill="1" applyBorder="1" applyAlignment="1">
      <alignment horizontal="right"/>
    </xf>
    <xf numFmtId="168" fontId="2" fillId="4" borderId="21" xfId="0" applyNumberFormat="1" applyFont="1" applyFill="1" applyBorder="1" applyAlignment="1">
      <alignment horizontal="right"/>
    </xf>
    <xf numFmtId="0" fontId="0" fillId="4" borderId="21" xfId="0" applyFill="1" applyBorder="1" applyAlignment="1">
      <alignment horizontal="justify"/>
    </xf>
    <xf numFmtId="168" fontId="0" fillId="4" borderId="21" xfId="0" applyNumberFormat="1" applyFill="1" applyBorder="1"/>
    <xf numFmtId="0" fontId="12" fillId="4" borderId="21" xfId="0" applyFont="1" applyFill="1" applyBorder="1" applyAlignment="1">
      <alignment horizontal="center"/>
    </xf>
    <xf numFmtId="2" fontId="12" fillId="4" borderId="21" xfId="3" applyNumberFormat="1" applyFont="1" applyFill="1" applyBorder="1"/>
    <xf numFmtId="168" fontId="0" fillId="4" borderId="21" xfId="0" applyNumberFormat="1" applyFill="1" applyBorder="1" applyAlignment="1">
      <alignment horizontal="justify"/>
    </xf>
    <xf numFmtId="166" fontId="0" fillId="4" borderId="21" xfId="0" applyNumberFormat="1" applyFill="1" applyBorder="1" applyAlignment="1">
      <alignment horizontal="justify"/>
    </xf>
    <xf numFmtId="4" fontId="2" fillId="4" borderId="21" xfId="0" applyNumberFormat="1" applyFont="1" applyFill="1" applyBorder="1"/>
    <xf numFmtId="168" fontId="2" fillId="4" borderId="21" xfId="0" applyNumberFormat="1" applyFont="1" applyFill="1" applyBorder="1" applyAlignment="1">
      <alignment horizontal="justify"/>
    </xf>
    <xf numFmtId="0" fontId="2" fillId="4" borderId="21" xfId="0" applyFont="1" applyFill="1" applyBorder="1" applyAlignment="1">
      <alignment horizontal="justify"/>
    </xf>
    <xf numFmtId="166" fontId="2" fillId="4" borderId="21" xfId="0" applyNumberFormat="1" applyFont="1" applyFill="1" applyBorder="1" applyAlignment="1">
      <alignment horizontal="justify"/>
    </xf>
    <xf numFmtId="168" fontId="26" fillId="4" borderId="21" xfId="2" applyNumberFormat="1" applyFont="1" applyFill="1" applyBorder="1" applyAlignment="1">
      <alignment horizontal="right"/>
    </xf>
    <xf numFmtId="43" fontId="0" fillId="4" borderId="21" xfId="0" applyNumberFormat="1" applyFill="1" applyBorder="1" applyAlignment="1">
      <alignment horizontal="right"/>
    </xf>
    <xf numFmtId="41" fontId="2" fillId="4" borderId="21" xfId="2" applyFont="1" applyFill="1" applyBorder="1"/>
    <xf numFmtId="164" fontId="2" fillId="4" borderId="21" xfId="3" applyFont="1" applyFill="1" applyBorder="1"/>
    <xf numFmtId="41" fontId="3" fillId="4" borderId="21" xfId="2" applyFont="1" applyFill="1" applyBorder="1"/>
    <xf numFmtId="164" fontId="3" fillId="4" borderId="21" xfId="3" applyFont="1" applyFill="1" applyBorder="1"/>
    <xf numFmtId="0" fontId="3" fillId="4" borderId="21" xfId="0" applyFont="1" applyFill="1" applyBorder="1"/>
    <xf numFmtId="168" fontId="3" fillId="4" borderId="21" xfId="2" applyNumberFormat="1" applyFont="1" applyFill="1" applyBorder="1"/>
    <xf numFmtId="168" fontId="3" fillId="4" borderId="21" xfId="2" applyNumberFormat="1" applyFont="1" applyFill="1" applyBorder="1" applyAlignment="1">
      <alignment horizontal="right"/>
    </xf>
    <xf numFmtId="166" fontId="7" fillId="4" borderId="3" xfId="0" applyNumberFormat="1" applyFont="1" applyFill="1" applyBorder="1" applyAlignment="1">
      <alignment horizontal="left"/>
    </xf>
    <xf numFmtId="166" fontId="37" fillId="4" borderId="3" xfId="0" applyNumberFormat="1" applyFont="1" applyFill="1" applyBorder="1" applyAlignment="1">
      <alignment horizontal="left"/>
    </xf>
    <xf numFmtId="2" fontId="41" fillId="4" borderId="3" xfId="0" applyNumberFormat="1" applyFont="1" applyFill="1" applyBorder="1" applyAlignment="1">
      <alignment horizontal="left"/>
    </xf>
    <xf numFmtId="0" fontId="13" fillId="4" borderId="0" xfId="0" applyFont="1" applyFill="1" applyAlignment="1">
      <alignment horizontal="center"/>
    </xf>
    <xf numFmtId="0" fontId="13" fillId="4" borderId="0" xfId="0" applyFont="1" applyFill="1"/>
    <xf numFmtId="0" fontId="13" fillId="4" borderId="0" xfId="0" applyFont="1" applyFill="1" applyAlignment="1">
      <alignment horizontal="left"/>
    </xf>
    <xf numFmtId="2" fontId="13" fillId="4" borderId="0" xfId="0" applyNumberFormat="1" applyFont="1" applyFill="1" applyAlignment="1">
      <alignment horizontal="center"/>
    </xf>
    <xf numFmtId="9" fontId="7" fillId="4" borderId="21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43" fontId="2" fillId="0" borderId="0" xfId="1" applyFont="1" applyFill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Alignment="1">
      <alignment horizontal="right"/>
    </xf>
    <xf numFmtId="43" fontId="13" fillId="0" borderId="0" xfId="1" applyFont="1" applyFill="1" applyAlignment="1">
      <alignment horizontal="center"/>
    </xf>
    <xf numFmtId="10" fontId="11" fillId="4" borderId="21" xfId="0" applyNumberFormat="1" applyFont="1" applyFill="1" applyBorder="1" applyAlignment="1">
      <alignment horizontal="center" wrapText="1"/>
    </xf>
    <xf numFmtId="0" fontId="1" fillId="4" borderId="21" xfId="0" applyFont="1" applyFill="1" applyBorder="1"/>
    <xf numFmtId="4" fontId="1" fillId="4" borderId="21" xfId="0" applyNumberFormat="1" applyFont="1" applyFill="1" applyBorder="1" applyAlignment="1">
      <alignment horizontal="right"/>
    </xf>
    <xf numFmtId="0" fontId="35" fillId="4" borderId="21" xfId="0" applyFont="1" applyFill="1" applyBorder="1"/>
    <xf numFmtId="0" fontId="40" fillId="0" borderId="21" xfId="0" applyFont="1" applyBorder="1" applyAlignment="1">
      <alignment horizontal="center" wrapText="1"/>
    </xf>
    <xf numFmtId="0" fontId="40" fillId="4" borderId="21" xfId="0" applyFont="1" applyFill="1" applyBorder="1" applyAlignment="1">
      <alignment horizontal="center"/>
    </xf>
    <xf numFmtId="166" fontId="35" fillId="4" borderId="21" xfId="0" applyNumberFormat="1" applyFont="1" applyFill="1" applyBorder="1" applyAlignment="1">
      <alignment horizontal="center"/>
    </xf>
    <xf numFmtId="169" fontId="35" fillId="4" borderId="21" xfId="0" applyNumberFormat="1" applyFont="1" applyFill="1" applyBorder="1" applyAlignment="1">
      <alignment horizontal="center"/>
    </xf>
    <xf numFmtId="166" fontId="35" fillId="4" borderId="21" xfId="0" applyNumberFormat="1" applyFont="1" applyFill="1" applyBorder="1" applyAlignment="1">
      <alignment horizontal="left"/>
    </xf>
    <xf numFmtId="4" fontId="39" fillId="4" borderId="21" xfId="0" applyNumberFormat="1" applyFont="1" applyFill="1" applyBorder="1" applyAlignment="1">
      <alignment horizontal="right"/>
    </xf>
    <xf numFmtId="43" fontId="9" fillId="4" borderId="21" xfId="1" applyFont="1" applyFill="1" applyBorder="1" applyAlignment="1">
      <alignment horizontal="center"/>
    </xf>
    <xf numFmtId="43" fontId="13" fillId="4" borderId="21" xfId="1" applyFont="1" applyFill="1" applyBorder="1"/>
    <xf numFmtId="43" fontId="9" fillId="4" borderId="21" xfId="1" applyFont="1" applyFill="1" applyBorder="1"/>
    <xf numFmtId="43" fontId="0" fillId="4" borderId="21" xfId="1" applyFont="1" applyFill="1" applyBorder="1"/>
    <xf numFmtId="43" fontId="11" fillId="4" borderId="21" xfId="1" applyFont="1" applyFill="1" applyBorder="1" applyAlignment="1">
      <alignment horizontal="center"/>
    </xf>
    <xf numFmtId="43" fontId="13" fillId="4" borderId="21" xfId="1" applyFont="1" applyFill="1" applyBorder="1" applyAlignment="1">
      <alignment horizontal="right"/>
    </xf>
    <xf numFmtId="1" fontId="11" fillId="4" borderId="21" xfId="0" applyNumberFormat="1" applyFont="1" applyFill="1" applyBorder="1" applyAlignment="1">
      <alignment horizontal="center"/>
    </xf>
    <xf numFmtId="1" fontId="40" fillId="4" borderId="21" xfId="0" applyNumberFormat="1" applyFont="1" applyFill="1" applyBorder="1" applyAlignment="1">
      <alignment horizontal="center"/>
    </xf>
    <xf numFmtId="0" fontId="1" fillId="0" borderId="0" xfId="0" applyFont="1"/>
    <xf numFmtId="10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left"/>
    </xf>
    <xf numFmtId="169" fontId="7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/>
    </xf>
    <xf numFmtId="0" fontId="1" fillId="0" borderId="3" xfId="0" applyFont="1" applyBorder="1"/>
    <xf numFmtId="10" fontId="7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left"/>
    </xf>
    <xf numFmtId="169" fontId="7" fillId="0" borderId="3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right"/>
    </xf>
    <xf numFmtId="0" fontId="1" fillId="4" borderId="0" xfId="0" applyFont="1" applyFill="1"/>
    <xf numFmtId="4" fontId="1" fillId="4" borderId="0" xfId="0" applyNumberFormat="1" applyFont="1" applyFill="1" applyAlignment="1">
      <alignment horizontal="right"/>
    </xf>
    <xf numFmtId="0" fontId="1" fillId="4" borderId="3" xfId="0" applyFont="1" applyFill="1" applyBorder="1"/>
    <xf numFmtId="4" fontId="1" fillId="4" borderId="3" xfId="0" applyNumberFormat="1" applyFont="1" applyFill="1" applyBorder="1" applyAlignment="1">
      <alignment horizontal="right"/>
    </xf>
    <xf numFmtId="0" fontId="33" fillId="0" borderId="0" xfId="0" applyFont="1" applyAlignment="1">
      <alignment horizontal="left" wrapText="1"/>
    </xf>
    <xf numFmtId="2" fontId="1" fillId="0" borderId="0" xfId="2" applyNumberFormat="1" applyFont="1" applyFill="1"/>
    <xf numFmtId="4" fontId="1" fillId="0" borderId="0" xfId="3" applyNumberFormat="1" applyFont="1" applyFill="1"/>
    <xf numFmtId="43" fontId="1" fillId="0" borderId="0" xfId="1" applyFont="1" applyFill="1"/>
    <xf numFmtId="166" fontId="2" fillId="4" borderId="21" xfId="0" applyNumberFormat="1" applyFont="1" applyFill="1" applyBorder="1" applyAlignment="1">
      <alignment horizontal="center"/>
    </xf>
    <xf numFmtId="1" fontId="45" fillId="0" borderId="0" xfId="0" applyNumberFormat="1" applyFont="1" applyAlignment="1">
      <alignment horizontal="center"/>
    </xf>
    <xf numFmtId="166" fontId="45" fillId="0" borderId="0" xfId="0" applyNumberFormat="1" applyFont="1" applyAlignment="1">
      <alignment horizontal="left"/>
    </xf>
    <xf numFmtId="4" fontId="45" fillId="0" borderId="0" xfId="0" applyNumberFormat="1" applyFont="1" applyAlignment="1">
      <alignment horizontal="right"/>
    </xf>
    <xf numFmtId="168" fontId="45" fillId="0" borderId="0" xfId="2" applyNumberFormat="1" applyFont="1" applyFill="1" applyBorder="1"/>
    <xf numFmtId="4" fontId="45" fillId="0" borderId="0" xfId="3" applyNumberFormat="1" applyFont="1" applyFill="1"/>
    <xf numFmtId="43" fontId="33" fillId="0" borderId="0" xfId="1" applyFont="1"/>
    <xf numFmtId="0" fontId="0" fillId="0" borderId="0" xfId="0" applyAlignment="1">
      <alignment wrapText="1"/>
    </xf>
    <xf numFmtId="0" fontId="1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2" xfId="0" applyBorder="1"/>
    <xf numFmtId="0" fontId="1" fillId="0" borderId="1" xfId="0" applyFont="1" applyBorder="1"/>
    <xf numFmtId="0" fontId="1" fillId="0" borderId="2" xfId="0" applyFont="1" applyBorder="1"/>
    <xf numFmtId="43" fontId="2" fillId="0" borderId="15" xfId="1" applyFont="1" applyBorder="1"/>
    <xf numFmtId="166" fontId="20" fillId="0" borderId="0" xfId="0" applyNumberFormat="1" applyFont="1" applyAlignment="1">
      <alignment horizontal="center" wrapText="1"/>
    </xf>
    <xf numFmtId="165" fontId="33" fillId="0" borderId="0" xfId="2" applyNumberFormat="1" applyFont="1"/>
    <xf numFmtId="0" fontId="39" fillId="0" borderId="0" xfId="0" applyFont="1"/>
    <xf numFmtId="43" fontId="1" fillId="0" borderId="0" xfId="1" applyFont="1"/>
    <xf numFmtId="0" fontId="36" fillId="0" borderId="0" xfId="0" applyFont="1"/>
    <xf numFmtId="0" fontId="36" fillId="0" borderId="3" xfId="0" applyFont="1" applyBorder="1"/>
    <xf numFmtId="0" fontId="13" fillId="0" borderId="0" xfId="0" applyFont="1"/>
    <xf numFmtId="0" fontId="42" fillId="0" borderId="0" xfId="0" applyFont="1"/>
    <xf numFmtId="0" fontId="42" fillId="0" borderId="3" xfId="0" applyFont="1" applyBorder="1"/>
    <xf numFmtId="168" fontId="17" fillId="0" borderId="0" xfId="2" applyNumberFormat="1" applyFont="1" applyFill="1" applyAlignment="1">
      <alignment horizontal="right"/>
    </xf>
    <xf numFmtId="168" fontId="1" fillId="0" borderId="0" xfId="2" applyNumberFormat="1" applyFill="1" applyAlignment="1">
      <alignment horizontal="right"/>
    </xf>
    <xf numFmtId="168" fontId="2" fillId="0" borderId="0" xfId="2" applyNumberFormat="1" applyFont="1" applyFill="1"/>
    <xf numFmtId="168" fontId="1" fillId="0" borderId="0" xfId="2" applyNumberFormat="1" applyFill="1"/>
    <xf numFmtId="168" fontId="3" fillId="0" borderId="0" xfId="2" applyNumberFormat="1" applyFont="1" applyFill="1" applyAlignment="1">
      <alignment horizontal="right"/>
    </xf>
    <xf numFmtId="168" fontId="3" fillId="0" borderId="0" xfId="2" applyNumberFormat="1" applyFont="1" applyFill="1"/>
    <xf numFmtId="2" fontId="7" fillId="3" borderId="0" xfId="0" applyNumberFormat="1" applyFont="1" applyFill="1" applyAlignment="1">
      <alignment horizontal="left"/>
    </xf>
    <xf numFmtId="2" fontId="7" fillId="3" borderId="3" xfId="0" applyNumberFormat="1" applyFont="1" applyFill="1" applyBorder="1" applyAlignment="1">
      <alignment horizontal="left"/>
    </xf>
    <xf numFmtId="2" fontId="7" fillId="3" borderId="21" xfId="0" applyNumberFormat="1" applyFont="1" applyFill="1" applyBorder="1" applyAlignment="1">
      <alignment horizontal="center"/>
    </xf>
    <xf numFmtId="43" fontId="2" fillId="4" borderId="0" xfId="1" applyFont="1" applyFill="1"/>
    <xf numFmtId="0" fontId="1" fillId="0" borderId="16" xfId="0" applyFont="1" applyBorder="1"/>
    <xf numFmtId="0" fontId="46" fillId="0" borderId="1" xfId="0" applyFont="1" applyBorder="1" applyAlignment="1">
      <alignment horizontal="left"/>
    </xf>
    <xf numFmtId="4" fontId="46" fillId="0" borderId="12" xfId="0" applyNumberFormat="1" applyFont="1" applyBorder="1"/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6" fontId="4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center"/>
    </xf>
    <xf numFmtId="167" fontId="49" fillId="0" borderId="0" xfId="0" applyNumberFormat="1" applyFont="1" applyAlignment="1">
      <alignment horizontal="left"/>
    </xf>
    <xf numFmtId="166" fontId="49" fillId="0" borderId="0" xfId="0" applyNumberFormat="1" applyFont="1" applyAlignment="1">
      <alignment horizontal="left"/>
    </xf>
    <xf numFmtId="4" fontId="48" fillId="0" borderId="0" xfId="0" applyNumberFormat="1" applyFont="1" applyAlignment="1">
      <alignment horizontal="right"/>
    </xf>
    <xf numFmtId="41" fontId="51" fillId="0" borderId="0" xfId="2" applyFont="1" applyAlignment="1">
      <alignment horizontal="center" wrapText="1"/>
    </xf>
    <xf numFmtId="164" fontId="51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0" fillId="4" borderId="2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center"/>
    </xf>
    <xf numFmtId="4" fontId="2" fillId="4" borderId="17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4" xfId="0" applyFont="1" applyBorder="1" applyAlignment="1">
      <alignment horizontal="center"/>
    </xf>
  </cellXfs>
  <cellStyles count="4">
    <cellStyle name="Migliaia" xfId="1" builtinId="3"/>
    <cellStyle name="Migliaia [0]" xfId="2" builtinId="6"/>
    <cellStyle name="Normale" xfId="0" builtinId="0"/>
    <cellStyle name="Valuta [0]" xfId="3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IO\DIRIGENTI\Retr.%20di%20posizione%20e%20Risultato\2019\FONDO%202019%20dir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RICALCOLATO"/>
      <sheetName val="CONTEGGI"/>
      <sheetName val="Foglio3"/>
    </sheetNames>
    <sheetDataSet>
      <sheetData sheetId="0" refreshError="1"/>
      <sheetData sheetId="1">
        <row r="17">
          <cell r="B17">
            <v>20436.980180672272</v>
          </cell>
        </row>
        <row r="74">
          <cell r="G74">
            <v>20165.124290628104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7"/>
  <sheetViews>
    <sheetView topLeftCell="A64" zoomScale="115" zoomScaleNormal="115" workbookViewId="0">
      <pane xSplit="2" topLeftCell="C1" activePane="topRight" state="frozen"/>
      <selection activeCell="A16" sqref="A16"/>
      <selection pane="topRight" activeCell="D39" sqref="D39"/>
    </sheetView>
  </sheetViews>
  <sheetFormatPr defaultRowHeight="12.75" x14ac:dyDescent="0.2"/>
  <cols>
    <col min="1" max="1" width="42.140625" customWidth="1"/>
    <col min="2" max="2" width="15.7109375" customWidth="1"/>
    <col min="3" max="3" width="20.140625" customWidth="1"/>
    <col min="4" max="4" width="18" bestFit="1" customWidth="1"/>
    <col min="5" max="5" width="17.28515625" style="9" customWidth="1"/>
    <col min="6" max="6" width="12.5703125" customWidth="1"/>
    <col min="7" max="7" width="15.42578125" style="3" bestFit="1" customWidth="1"/>
    <col min="8" max="8" width="13.42578125" style="3" customWidth="1"/>
    <col min="9" max="9" width="13.28515625" style="3" customWidth="1"/>
    <col min="10" max="10" width="16.7109375" style="2" bestFit="1" customWidth="1"/>
    <col min="11" max="11" width="16.5703125" bestFit="1" customWidth="1"/>
    <col min="12" max="13" width="11.42578125" bestFit="1" customWidth="1"/>
    <col min="14" max="14" width="14" bestFit="1" customWidth="1"/>
    <col min="15" max="15" width="9.28515625" bestFit="1" customWidth="1"/>
    <col min="16" max="17" width="10.28515625" bestFit="1" customWidth="1"/>
    <col min="18" max="22" width="10.42578125" bestFit="1" customWidth="1"/>
    <col min="23" max="23" width="10.28515625" bestFit="1" customWidth="1"/>
    <col min="24" max="24" width="9.5703125" bestFit="1" customWidth="1"/>
    <col min="25" max="26" width="10.28515625" bestFit="1" customWidth="1"/>
    <col min="27" max="27" width="9.28515625" bestFit="1" customWidth="1"/>
    <col min="28" max="28" width="11.42578125" bestFit="1" customWidth="1"/>
  </cols>
  <sheetData>
    <row r="1" spans="1:16" ht="20.25" x14ac:dyDescent="0.3">
      <c r="A1" s="264" t="s">
        <v>346</v>
      </c>
    </row>
    <row r="2" spans="1:16" ht="26.45" customHeight="1" x14ac:dyDescent="0.2">
      <c r="A2" s="699"/>
      <c r="B2" s="699"/>
      <c r="C2" s="3"/>
      <c r="D2" s="15" t="s">
        <v>246</v>
      </c>
      <c r="F2" s="15"/>
    </row>
    <row r="3" spans="1:16" x14ac:dyDescent="0.2">
      <c r="A3" s="3" t="s">
        <v>347</v>
      </c>
      <c r="B3" s="3"/>
      <c r="C3" s="3"/>
      <c r="D3" s="102" t="s">
        <v>348</v>
      </c>
      <c r="F3" s="102"/>
      <c r="K3" s="7"/>
    </row>
    <row r="4" spans="1:16" x14ac:dyDescent="0.2">
      <c r="A4" s="234" t="s">
        <v>349</v>
      </c>
      <c r="B4" s="12"/>
      <c r="C4" s="12"/>
      <c r="D4" s="158">
        <v>5842.26</v>
      </c>
      <c r="E4" s="158"/>
      <c r="F4" s="158"/>
      <c r="G4" s="158"/>
      <c r="H4" s="158"/>
      <c r="I4" s="158"/>
      <c r="J4" s="158"/>
      <c r="K4" s="158"/>
      <c r="L4" s="158"/>
      <c r="M4" s="158"/>
      <c r="O4" s="158"/>
      <c r="P4" s="158"/>
    </row>
    <row r="5" spans="1:16" x14ac:dyDescent="0.2">
      <c r="A5" s="7" t="s">
        <v>0</v>
      </c>
      <c r="B5" s="6"/>
      <c r="C5" s="6"/>
      <c r="D5" s="158">
        <v>9627.48</v>
      </c>
      <c r="E5" s="158"/>
      <c r="F5" s="158"/>
      <c r="G5" s="158"/>
      <c r="H5" s="158"/>
      <c r="I5" s="158"/>
      <c r="J5" s="158"/>
      <c r="K5" s="158"/>
      <c r="L5" s="158"/>
      <c r="M5" s="158"/>
      <c r="O5" s="158"/>
      <c r="P5" s="158"/>
    </row>
    <row r="6" spans="1:16" x14ac:dyDescent="0.2">
      <c r="A6" s="7" t="s">
        <v>1</v>
      </c>
      <c r="B6" s="12"/>
      <c r="C6" s="12"/>
      <c r="D6" s="158">
        <v>8953.0400000000009</v>
      </c>
      <c r="E6" s="158"/>
      <c r="F6" s="158"/>
      <c r="G6" s="158"/>
      <c r="H6" s="158"/>
      <c r="I6" s="158"/>
      <c r="J6" s="158"/>
      <c r="K6" s="158"/>
      <c r="L6" s="158"/>
      <c r="M6" s="158"/>
      <c r="O6" s="158"/>
      <c r="P6" s="158"/>
    </row>
    <row r="7" spans="1:16" x14ac:dyDescent="0.2">
      <c r="A7" s="7" t="s">
        <v>2</v>
      </c>
      <c r="B7" s="12"/>
      <c r="C7" s="12"/>
      <c r="D7" s="158">
        <v>9793.08</v>
      </c>
      <c r="E7" s="158"/>
      <c r="F7" s="158"/>
      <c r="G7" s="158"/>
      <c r="H7" s="158"/>
      <c r="I7" s="158"/>
      <c r="J7" s="158"/>
      <c r="K7" s="158"/>
      <c r="L7" s="158"/>
      <c r="M7" s="158"/>
      <c r="O7" s="158"/>
      <c r="P7" s="158"/>
    </row>
    <row r="8" spans="1:16" x14ac:dyDescent="0.2">
      <c r="A8" s="7" t="s">
        <v>3</v>
      </c>
      <c r="B8" s="12"/>
      <c r="C8" s="12"/>
      <c r="D8" s="158">
        <v>9458.67</v>
      </c>
      <c r="E8" s="158"/>
      <c r="F8" s="158"/>
      <c r="G8" s="158"/>
      <c r="H8" s="158"/>
      <c r="I8" s="158"/>
      <c r="J8" s="158"/>
      <c r="K8" s="158"/>
      <c r="L8" s="158"/>
      <c r="M8" s="158"/>
      <c r="O8" s="158"/>
      <c r="P8" s="158"/>
    </row>
    <row r="9" spans="1:16" x14ac:dyDescent="0.2">
      <c r="A9" s="7" t="s">
        <v>4</v>
      </c>
      <c r="B9" s="12"/>
      <c r="C9" s="12"/>
      <c r="D9" s="158">
        <v>8895.2800000000007</v>
      </c>
      <c r="E9" s="158"/>
      <c r="F9" s="158"/>
      <c r="G9" s="158"/>
      <c r="H9" s="158"/>
      <c r="I9" s="158"/>
      <c r="J9" s="158"/>
      <c r="K9" s="158"/>
      <c r="L9" s="158"/>
      <c r="M9" s="158"/>
      <c r="O9" s="158"/>
      <c r="P9" s="158"/>
    </row>
    <row r="10" spans="1:16" x14ac:dyDescent="0.2">
      <c r="A10" s="7" t="s">
        <v>5</v>
      </c>
      <c r="B10" s="12"/>
      <c r="C10" s="12"/>
      <c r="D10" s="158">
        <v>8409.9500000000007</v>
      </c>
      <c r="E10" s="158"/>
      <c r="F10" s="158"/>
      <c r="G10" s="158"/>
      <c r="H10" s="158"/>
      <c r="I10" s="158"/>
      <c r="J10" s="158"/>
      <c r="K10" s="158"/>
      <c r="L10" s="158"/>
      <c r="M10" s="158"/>
      <c r="O10" s="158"/>
      <c r="P10" s="158"/>
    </row>
    <row r="11" spans="1:16" x14ac:dyDescent="0.2">
      <c r="A11" s="7" t="s">
        <v>6</v>
      </c>
      <c r="B11" s="12"/>
      <c r="C11" s="12"/>
      <c r="D11" s="158">
        <v>9179.07</v>
      </c>
      <c r="E11" s="158"/>
      <c r="F11" s="158"/>
      <c r="G11" s="158"/>
      <c r="H11" s="158"/>
      <c r="I11" s="158"/>
      <c r="J11" s="158"/>
      <c r="K11" s="158"/>
      <c r="L11" s="158"/>
      <c r="M11" s="158"/>
      <c r="O11" s="158"/>
      <c r="P11" s="158"/>
    </row>
    <row r="12" spans="1:16" x14ac:dyDescent="0.2">
      <c r="A12" s="7" t="s">
        <v>7</v>
      </c>
      <c r="B12" s="12"/>
      <c r="C12" s="12"/>
      <c r="D12" s="158">
        <v>8399</v>
      </c>
      <c r="E12" s="158"/>
      <c r="F12" s="158"/>
      <c r="G12" s="158"/>
      <c r="H12" s="158"/>
      <c r="I12" s="158"/>
      <c r="J12" s="158"/>
      <c r="K12" s="158"/>
      <c r="L12" s="158"/>
      <c r="M12" s="158"/>
      <c r="O12" s="158"/>
      <c r="P12" s="158"/>
    </row>
    <row r="13" spans="1:16" x14ac:dyDescent="0.2">
      <c r="A13" s="7" t="s">
        <v>8</v>
      </c>
      <c r="B13" s="12"/>
      <c r="C13" s="12"/>
      <c r="D13" s="158">
        <v>9121.15</v>
      </c>
      <c r="E13" s="158"/>
      <c r="F13" s="158"/>
      <c r="G13" s="158"/>
      <c r="H13" s="158"/>
      <c r="I13" s="158"/>
      <c r="J13" s="158"/>
      <c r="K13" s="158"/>
      <c r="L13" s="158"/>
      <c r="M13" s="158"/>
      <c r="O13" s="158"/>
      <c r="P13" s="158"/>
    </row>
    <row r="14" spans="1:16" x14ac:dyDescent="0.2">
      <c r="A14" s="7" t="s">
        <v>9</v>
      </c>
      <c r="B14" s="12"/>
      <c r="C14" s="12"/>
      <c r="D14" s="158">
        <v>9272.5</v>
      </c>
      <c r="E14" s="158"/>
      <c r="F14" s="158"/>
      <c r="G14" s="158"/>
      <c r="H14" s="158"/>
      <c r="I14" s="158"/>
      <c r="J14" s="158"/>
      <c r="K14" s="158"/>
      <c r="L14" s="158"/>
      <c r="M14" s="158"/>
      <c r="O14" s="158"/>
      <c r="P14" s="158"/>
    </row>
    <row r="15" spans="1:16" x14ac:dyDescent="0.2">
      <c r="A15" s="7" t="s">
        <v>10</v>
      </c>
      <c r="B15" s="12"/>
      <c r="C15" s="12"/>
      <c r="D15" s="158">
        <v>8628.14</v>
      </c>
      <c r="E15" s="158"/>
      <c r="F15" s="158"/>
      <c r="G15" s="158"/>
      <c r="H15" s="158"/>
      <c r="I15" s="158"/>
      <c r="J15" s="158"/>
      <c r="K15" s="158"/>
      <c r="L15" s="158"/>
      <c r="M15" s="158"/>
      <c r="O15" s="158"/>
      <c r="P15" s="158"/>
    </row>
    <row r="16" spans="1:16" x14ac:dyDescent="0.2">
      <c r="A16" s="7" t="s">
        <v>331</v>
      </c>
      <c r="B16" s="12"/>
      <c r="C16" s="12" t="s">
        <v>288</v>
      </c>
      <c r="D16" s="158">
        <v>4406.25</v>
      </c>
      <c r="E16" s="158"/>
      <c r="F16" s="158"/>
      <c r="G16" s="158"/>
      <c r="H16" s="158"/>
      <c r="I16" s="158"/>
      <c r="J16" s="158"/>
      <c r="K16" s="158"/>
      <c r="L16" s="158"/>
      <c r="M16" s="158"/>
      <c r="O16" s="158"/>
      <c r="P16" s="158"/>
    </row>
    <row r="17" spans="1:28" x14ac:dyDescent="0.2">
      <c r="A17" s="698" t="s">
        <v>350</v>
      </c>
      <c r="B17" s="698"/>
      <c r="C17" s="5"/>
      <c r="D17" s="8">
        <f>SUM(D4:D16)</f>
        <v>109985.86999999998</v>
      </c>
      <c r="E17" s="7"/>
      <c r="F17" s="8"/>
      <c r="J17" s="7"/>
      <c r="K17" s="8"/>
      <c r="N17" s="23">
        <f>SUM(D4:D16)</f>
        <v>109985.86999999998</v>
      </c>
    </row>
    <row r="18" spans="1:28" x14ac:dyDescent="0.2">
      <c r="A18" s="19"/>
      <c r="B18" s="20"/>
      <c r="C18" s="20"/>
      <c r="D18" s="7"/>
      <c r="E18" s="10"/>
      <c r="F18" s="7"/>
      <c r="G18" s="7"/>
      <c r="H18" s="7"/>
      <c r="I18" s="7"/>
      <c r="J18" s="7"/>
      <c r="K18" s="7"/>
    </row>
    <row r="19" spans="1:28" ht="13.5" thickBot="1" x14ac:dyDescent="0.25">
      <c r="A19" s="698"/>
      <c r="B19" s="698"/>
      <c r="C19" s="5" t="s">
        <v>243</v>
      </c>
      <c r="D19" s="13">
        <f>D17+D18</f>
        <v>109985.86999999998</v>
      </c>
      <c r="E19" s="95"/>
      <c r="F19" s="1"/>
      <c r="J19" s="7"/>
    </row>
    <row r="20" spans="1:28" ht="16.5" thickBot="1" x14ac:dyDescent="0.3">
      <c r="A20" s="5" t="s">
        <v>14</v>
      </c>
      <c r="B20" s="5"/>
      <c r="C20" s="5"/>
      <c r="D20" s="193">
        <v>242889.25</v>
      </c>
      <c r="E20" s="95"/>
      <c r="F20" s="1" t="s">
        <v>272</v>
      </c>
      <c r="G20" s="8"/>
      <c r="H20" s="8"/>
      <c r="I20" s="8"/>
      <c r="J20" s="7"/>
    </row>
    <row r="21" spans="1:28" ht="13.5" thickBot="1" x14ac:dyDescent="0.25">
      <c r="A21" s="109" t="s">
        <v>157</v>
      </c>
      <c r="B21" s="5"/>
      <c r="C21" s="5"/>
      <c r="D21" s="13"/>
      <c r="E21" s="243"/>
      <c r="F21" s="244" t="s">
        <v>351</v>
      </c>
      <c r="G21" s="7"/>
      <c r="H21" s="7"/>
      <c r="I21" s="7"/>
      <c r="J21" s="7"/>
    </row>
    <row r="22" spans="1:28" s="3" customFormat="1" ht="13.5" thickBot="1" x14ac:dyDescent="0.25">
      <c r="A22" s="5" t="s">
        <v>15</v>
      </c>
      <c r="B22" s="5"/>
      <c r="C22" s="5"/>
      <c r="D22" s="110"/>
      <c r="E22" s="238">
        <f>+D20-D19</f>
        <v>132903.38</v>
      </c>
      <c r="F22" s="236" t="s">
        <v>273</v>
      </c>
      <c r="G22" s="237"/>
      <c r="J22" s="7"/>
    </row>
    <row r="23" spans="1:28" s="3" customFormat="1" x14ac:dyDescent="0.2">
      <c r="A23" s="5" t="s">
        <v>20</v>
      </c>
      <c r="B23" s="5"/>
      <c r="C23" s="5"/>
      <c r="D23" s="110"/>
      <c r="N23" s="11" t="s">
        <v>215</v>
      </c>
      <c r="O23" s="158">
        <v>5842.26</v>
      </c>
      <c r="P23" s="158">
        <v>9627.48</v>
      </c>
      <c r="Q23" s="158">
        <v>8953.0400000000009</v>
      </c>
      <c r="R23" s="158">
        <v>9793.08</v>
      </c>
      <c r="S23" s="158">
        <v>9458.67</v>
      </c>
      <c r="T23" s="158">
        <v>8895.2800000000007</v>
      </c>
      <c r="U23" s="158">
        <v>8409.9500000000007</v>
      </c>
      <c r="V23" s="158">
        <v>9179.07</v>
      </c>
      <c r="W23" s="158">
        <v>8399</v>
      </c>
      <c r="X23" s="158">
        <v>9121.15</v>
      </c>
      <c r="Y23" s="158">
        <v>9272.5</v>
      </c>
      <c r="Z23" s="158">
        <v>8628.14</v>
      </c>
      <c r="AA23" s="158">
        <v>4406.25</v>
      </c>
      <c r="AB23" s="74"/>
    </row>
    <row r="24" spans="1:28" s="3" customFormat="1" x14ac:dyDescent="0.2">
      <c r="A24" s="5" t="s">
        <v>16</v>
      </c>
      <c r="B24" s="86"/>
      <c r="C24" s="160"/>
      <c r="D24" s="111"/>
      <c r="N24" s="14" t="s">
        <v>332</v>
      </c>
      <c r="O24" s="134">
        <f t="shared" ref="O24:AA24" si="0">O23-O41</f>
        <v>0</v>
      </c>
      <c r="P24" s="134">
        <f t="shared" si="0"/>
        <v>0</v>
      </c>
      <c r="Q24" s="134">
        <f t="shared" si="0"/>
        <v>0</v>
      </c>
      <c r="R24" s="134">
        <f t="shared" si="0"/>
        <v>0</v>
      </c>
      <c r="S24" s="134">
        <f t="shared" si="0"/>
        <v>0</v>
      </c>
      <c r="T24" s="134">
        <f t="shared" si="0"/>
        <v>0</v>
      </c>
      <c r="U24" s="134">
        <f t="shared" si="0"/>
        <v>0</v>
      </c>
      <c r="V24" s="134">
        <f t="shared" si="0"/>
        <v>0</v>
      </c>
      <c r="W24" s="134">
        <f t="shared" si="0"/>
        <v>0</v>
      </c>
      <c r="X24" s="134">
        <f t="shared" si="0"/>
        <v>0</v>
      </c>
      <c r="Y24" s="134">
        <f t="shared" si="0"/>
        <v>0</v>
      </c>
      <c r="Z24" s="134">
        <f t="shared" si="0"/>
        <v>0</v>
      </c>
      <c r="AA24" s="134">
        <f t="shared" si="0"/>
        <v>0</v>
      </c>
      <c r="AB24" s="74">
        <f>SUM(O24:AA24)</f>
        <v>0</v>
      </c>
    </row>
    <row r="25" spans="1:28" s="3" customFormat="1" x14ac:dyDescent="0.2">
      <c r="A25" s="5"/>
      <c r="B25" s="5"/>
      <c r="C25" s="5"/>
      <c r="D25" s="112"/>
      <c r="N25" s="14"/>
      <c r="O25" s="134" t="s">
        <v>184</v>
      </c>
      <c r="P25" s="134" t="s">
        <v>185</v>
      </c>
      <c r="Q25" s="134" t="s">
        <v>186</v>
      </c>
      <c r="R25" s="134" t="s">
        <v>187</v>
      </c>
      <c r="S25" s="134" t="s">
        <v>188</v>
      </c>
      <c r="T25" s="134" t="s">
        <v>189</v>
      </c>
      <c r="U25" s="134" t="s">
        <v>190</v>
      </c>
      <c r="V25" s="134" t="s">
        <v>191</v>
      </c>
      <c r="W25" s="134" t="s">
        <v>211</v>
      </c>
      <c r="X25" s="134" t="s">
        <v>192</v>
      </c>
      <c r="Y25" s="134" t="s">
        <v>193</v>
      </c>
      <c r="Z25" s="134" t="s">
        <v>194</v>
      </c>
      <c r="AA25" s="134" t="s">
        <v>288</v>
      </c>
      <c r="AB25" s="667" t="s">
        <v>405</v>
      </c>
    </row>
    <row r="26" spans="1:28" s="3" customFormat="1" x14ac:dyDescent="0.2">
      <c r="A26" s="22" t="s">
        <v>127</v>
      </c>
      <c r="B26" s="18">
        <f t="shared" ref="B26:B39" si="1">+N26</f>
        <v>55729.490000000005</v>
      </c>
      <c r="C26" s="18"/>
      <c r="D26" s="74"/>
      <c r="G26" s="158"/>
      <c r="H26" s="158"/>
      <c r="I26" s="158"/>
      <c r="N26" s="158">
        <f>SUM(O26:AA26)</f>
        <v>55729.490000000005</v>
      </c>
      <c r="O26" s="158">
        <v>4223.93</v>
      </c>
      <c r="P26" s="158">
        <v>4247.8</v>
      </c>
      <c r="Q26" s="158">
        <v>4247.8</v>
      </c>
      <c r="R26" s="158">
        <v>4247.8</v>
      </c>
      <c r="S26" s="158">
        <v>4253.13</v>
      </c>
      <c r="T26" s="158">
        <v>4320.28</v>
      </c>
      <c r="U26" s="158">
        <v>4305.5</v>
      </c>
      <c r="V26" s="158">
        <v>4323.84</v>
      </c>
      <c r="W26" s="158">
        <v>4350.1099999999997</v>
      </c>
      <c r="X26" s="158">
        <v>4350.1099999999997</v>
      </c>
      <c r="Y26" s="158">
        <v>4350.1099999999997</v>
      </c>
      <c r="Z26" s="455">
        <v>4220.8500000000004</v>
      </c>
      <c r="AA26" s="158">
        <v>4288.2299999999996</v>
      </c>
    </row>
    <row r="27" spans="1:28" s="3" customFormat="1" x14ac:dyDescent="0.2">
      <c r="A27" s="22" t="s">
        <v>129</v>
      </c>
      <c r="B27" s="18">
        <f t="shared" si="1"/>
        <v>2985.4300000000003</v>
      </c>
      <c r="C27" s="18"/>
      <c r="D27" s="74"/>
      <c r="N27" s="158">
        <f t="shared" ref="N27:N39" si="2">SUM(O27:AA27)</f>
        <v>2985.4300000000003</v>
      </c>
      <c r="O27" s="158">
        <v>247.15</v>
      </c>
      <c r="P27" s="158">
        <v>247.15</v>
      </c>
      <c r="Q27" s="158">
        <v>247.15</v>
      </c>
      <c r="R27" s="158">
        <v>247.15</v>
      </c>
      <c r="S27" s="158">
        <v>247.15</v>
      </c>
      <c r="T27" s="158">
        <v>250.05</v>
      </c>
      <c r="U27" s="158">
        <v>249.37</v>
      </c>
      <c r="V27" s="158">
        <v>250.74</v>
      </c>
      <c r="W27" s="158">
        <v>252.11</v>
      </c>
      <c r="X27" s="158">
        <v>252.11</v>
      </c>
      <c r="Y27" s="158">
        <v>252.11</v>
      </c>
      <c r="Z27" s="455">
        <v>243.19</v>
      </c>
      <c r="AA27" s="158"/>
    </row>
    <row r="28" spans="1:28" s="3" customFormat="1" ht="38.25" x14ac:dyDescent="0.2">
      <c r="A28" s="647" t="s">
        <v>404</v>
      </c>
      <c r="B28" s="666">
        <f t="shared" si="1"/>
        <v>0</v>
      </c>
      <c r="C28" s="3">
        <f>118.02+1431.94</f>
        <v>1549.96</v>
      </c>
      <c r="D28" s="74"/>
      <c r="N28" s="158">
        <f>SUM(O28:AB28)</f>
        <v>0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455"/>
      <c r="AA28" s="668">
        <v>118.02</v>
      </c>
      <c r="AB28" s="3">
        <v>-118.02</v>
      </c>
    </row>
    <row r="29" spans="1:28" s="3" customFormat="1" x14ac:dyDescent="0.2">
      <c r="A29" s="22" t="s">
        <v>212</v>
      </c>
      <c r="B29" s="18">
        <f t="shared" si="1"/>
        <v>708.20000000000027</v>
      </c>
      <c r="C29" s="18"/>
      <c r="D29" s="159"/>
      <c r="N29" s="158">
        <f t="shared" si="2"/>
        <v>708.20000000000027</v>
      </c>
      <c r="O29" s="158">
        <v>59.59</v>
      </c>
      <c r="P29" s="158">
        <v>52.71</v>
      </c>
      <c r="Q29" s="158">
        <v>59.59</v>
      </c>
      <c r="R29" s="158">
        <v>59.59</v>
      </c>
      <c r="S29" s="158">
        <v>59.59</v>
      </c>
      <c r="T29" s="158">
        <v>59.59</v>
      </c>
      <c r="U29" s="158">
        <v>59.59</v>
      </c>
      <c r="V29" s="158">
        <v>59.59</v>
      </c>
      <c r="W29" s="158">
        <v>59.59</v>
      </c>
      <c r="X29" s="158">
        <v>59.59</v>
      </c>
      <c r="Y29" s="158">
        <v>59.59</v>
      </c>
      <c r="Z29" s="455">
        <v>59.59</v>
      </c>
      <c r="AA29" s="158"/>
    </row>
    <row r="30" spans="1:28" s="3" customFormat="1" x14ac:dyDescent="0.2">
      <c r="A30" s="21" t="s">
        <v>214</v>
      </c>
      <c r="B30" s="18">
        <f t="shared" si="1"/>
        <v>0</v>
      </c>
      <c r="C30" s="18">
        <f t="shared" ref="C30" si="3">+O30</f>
        <v>0</v>
      </c>
      <c r="D30" s="18">
        <f t="shared" ref="D30" si="4">+P30</f>
        <v>0</v>
      </c>
      <c r="E30" s="18">
        <f t="shared" ref="E30" si="5">+Q30</f>
        <v>0</v>
      </c>
      <c r="F30" s="18">
        <f t="shared" ref="F30" si="6">+R30</f>
        <v>0</v>
      </c>
      <c r="G30" s="18">
        <f t="shared" ref="G30" si="7">+S30</f>
        <v>0</v>
      </c>
      <c r="H30" s="18">
        <f t="shared" ref="H30" si="8">+T30</f>
        <v>0</v>
      </c>
      <c r="I30" s="18"/>
      <c r="J30" s="18"/>
      <c r="N30" s="158">
        <f t="shared" si="2"/>
        <v>0</v>
      </c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455"/>
      <c r="AA30" s="158"/>
    </row>
    <row r="31" spans="1:28" s="3" customFormat="1" x14ac:dyDescent="0.2">
      <c r="A31" t="s">
        <v>19</v>
      </c>
      <c r="B31" s="18">
        <f t="shared" si="1"/>
        <v>13013.97</v>
      </c>
      <c r="C31" s="18"/>
      <c r="D31" s="74"/>
      <c r="N31" s="158">
        <f t="shared" si="2"/>
        <v>13013.97</v>
      </c>
      <c r="O31" s="158"/>
      <c r="P31" s="158">
        <v>1832.87</v>
      </c>
      <c r="Q31" s="158">
        <v>1241.21</v>
      </c>
      <c r="R31" s="158">
        <v>2079.2199999999998</v>
      </c>
      <c r="S31" s="158">
        <v>1970.85</v>
      </c>
      <c r="T31" s="158">
        <v>955.53</v>
      </c>
      <c r="U31" s="158">
        <v>534.4</v>
      </c>
      <c r="V31" s="158">
        <v>1277.93</v>
      </c>
      <c r="W31" s="158">
        <v>596.4</v>
      </c>
      <c r="X31" s="158">
        <v>888.58</v>
      </c>
      <c r="Y31" s="158">
        <v>974.08</v>
      </c>
      <c r="Z31" s="455">
        <v>662.9</v>
      </c>
      <c r="AA31" s="158"/>
    </row>
    <row r="32" spans="1:28" s="3" customFormat="1" x14ac:dyDescent="0.2">
      <c r="A32" s="21" t="s">
        <v>213</v>
      </c>
      <c r="B32" s="18">
        <f t="shared" si="1"/>
        <v>0</v>
      </c>
      <c r="C32" s="18"/>
      <c r="D32" s="74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455"/>
      <c r="AA32" s="158"/>
    </row>
    <row r="33" spans="1:31" s="3" customFormat="1" x14ac:dyDescent="0.2">
      <c r="A33" t="s">
        <v>18</v>
      </c>
      <c r="B33" s="18">
        <f t="shared" si="1"/>
        <v>20984.22</v>
      </c>
      <c r="C33" s="18"/>
      <c r="D33" s="74"/>
      <c r="N33" s="158">
        <f>SUM(O33:AA33)</f>
        <v>20984.22</v>
      </c>
      <c r="O33" s="158"/>
      <c r="P33" s="158">
        <v>1928.49</v>
      </c>
      <c r="Q33" s="158">
        <v>1853.49</v>
      </c>
      <c r="R33" s="158">
        <v>1834.99</v>
      </c>
      <c r="S33" s="158">
        <v>1561.49</v>
      </c>
      <c r="T33" s="158">
        <v>1890.99</v>
      </c>
      <c r="U33" s="158">
        <v>1847.48</v>
      </c>
      <c r="V33" s="158">
        <v>1852.71</v>
      </c>
      <c r="W33" s="158">
        <v>1735.85</v>
      </c>
      <c r="X33" s="158">
        <v>2170.98</v>
      </c>
      <c r="Y33" s="158">
        <v>2296.44</v>
      </c>
      <c r="Z33" s="455">
        <v>2011.31</v>
      </c>
      <c r="AA33" s="158"/>
      <c r="AB33"/>
      <c r="AC33"/>
      <c r="AD33"/>
      <c r="AE33"/>
    </row>
    <row r="34" spans="1:31" x14ac:dyDescent="0.2">
      <c r="A34" s="22" t="s">
        <v>133</v>
      </c>
      <c r="B34" s="18">
        <f t="shared" si="1"/>
        <v>0</v>
      </c>
      <c r="C34" s="18"/>
      <c r="D34" s="74"/>
      <c r="N34" s="158">
        <f t="shared" si="2"/>
        <v>0</v>
      </c>
      <c r="O34" s="158"/>
      <c r="P34" s="158"/>
      <c r="Q34" s="158"/>
      <c r="R34" s="9"/>
      <c r="S34" s="158"/>
      <c r="T34" s="158"/>
      <c r="U34" s="158"/>
      <c r="V34" s="158"/>
      <c r="W34" s="158"/>
      <c r="X34" s="158"/>
      <c r="Y34" s="158"/>
      <c r="Z34" s="455"/>
      <c r="AA34" s="158"/>
    </row>
    <row r="35" spans="1:31" x14ac:dyDescent="0.2">
      <c r="A35" t="s">
        <v>13</v>
      </c>
      <c r="B35" s="18">
        <f t="shared" si="1"/>
        <v>300</v>
      </c>
      <c r="C35" s="18"/>
      <c r="D35" s="74"/>
      <c r="N35" s="158">
        <f t="shared" si="2"/>
        <v>300</v>
      </c>
      <c r="O35" s="158">
        <v>25</v>
      </c>
      <c r="P35" s="158">
        <v>25</v>
      </c>
      <c r="Q35" s="158">
        <v>25</v>
      </c>
      <c r="R35" s="158">
        <v>25</v>
      </c>
      <c r="S35" s="158">
        <v>25</v>
      </c>
      <c r="T35" s="158">
        <v>25</v>
      </c>
      <c r="U35" s="158">
        <v>25</v>
      </c>
      <c r="V35" s="158">
        <v>25</v>
      </c>
      <c r="W35" s="158">
        <v>25</v>
      </c>
      <c r="X35" s="158">
        <v>25</v>
      </c>
      <c r="Y35" s="158">
        <v>25</v>
      </c>
      <c r="Z35" s="455">
        <v>25</v>
      </c>
      <c r="AA35" s="158"/>
    </row>
    <row r="36" spans="1:31" x14ac:dyDescent="0.2">
      <c r="A36" t="s">
        <v>305</v>
      </c>
      <c r="B36" s="18">
        <f t="shared" si="1"/>
        <v>2499.9599999999996</v>
      </c>
      <c r="D36" s="74"/>
      <c r="N36" s="158">
        <f t="shared" si="2"/>
        <v>2499.9599999999996</v>
      </c>
      <c r="O36" s="158">
        <v>208.33</v>
      </c>
      <c r="P36" s="158">
        <v>208.33</v>
      </c>
      <c r="Q36" s="158">
        <v>208.33</v>
      </c>
      <c r="R36" s="158">
        <v>208.33</v>
      </c>
      <c r="S36" s="158">
        <v>208.33</v>
      </c>
      <c r="T36" s="158">
        <v>208.33</v>
      </c>
      <c r="U36" s="158">
        <v>208.33</v>
      </c>
      <c r="V36" s="158">
        <v>208.33</v>
      </c>
      <c r="W36" s="158">
        <v>208.33</v>
      </c>
      <c r="X36" s="158">
        <v>208.33</v>
      </c>
      <c r="Y36" s="158">
        <v>208.33</v>
      </c>
      <c r="Z36" s="455">
        <v>208.33</v>
      </c>
      <c r="AA36" s="158"/>
    </row>
    <row r="37" spans="1:31" x14ac:dyDescent="0.2">
      <c r="A37" s="21" t="s">
        <v>333</v>
      </c>
      <c r="B37" s="18">
        <f t="shared" si="1"/>
        <v>0</v>
      </c>
      <c r="D37" s="74"/>
      <c r="N37" s="158">
        <f t="shared" si="2"/>
        <v>0</v>
      </c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455"/>
      <c r="AA37" s="158"/>
    </row>
    <row r="38" spans="1:31" x14ac:dyDescent="0.2">
      <c r="A38" t="s">
        <v>128</v>
      </c>
      <c r="B38" s="18">
        <f t="shared" si="1"/>
        <v>16632.009999999998</v>
      </c>
      <c r="C38" s="18"/>
      <c r="D38" s="74"/>
      <c r="N38" s="158">
        <f t="shared" si="2"/>
        <v>16632.009999999998</v>
      </c>
      <c r="O38" s="158">
        <v>1325.41</v>
      </c>
      <c r="P38" s="158">
        <v>1332.28</v>
      </c>
      <c r="Q38" s="158">
        <v>1317.62</v>
      </c>
      <c r="R38" s="158">
        <v>1338.15</v>
      </c>
      <c r="S38" s="158">
        <v>1380.28</v>
      </c>
      <c r="T38" s="158">
        <v>1435.56</v>
      </c>
      <c r="U38" s="158">
        <v>1429.65</v>
      </c>
      <c r="V38" s="158">
        <v>1431.67</v>
      </c>
      <c r="W38" s="158">
        <v>1423.72</v>
      </c>
      <c r="X38" s="158">
        <v>1418.56</v>
      </c>
      <c r="Y38" s="158">
        <v>1358.95</v>
      </c>
      <c r="Z38" s="455">
        <v>1440.16</v>
      </c>
      <c r="AA38" s="158"/>
    </row>
    <row r="39" spans="1:31" x14ac:dyDescent="0.2">
      <c r="A39" t="s">
        <v>130</v>
      </c>
      <c r="B39" s="18">
        <f t="shared" si="1"/>
        <v>5429.8200000000006</v>
      </c>
      <c r="C39" s="18"/>
      <c r="D39" s="74"/>
      <c r="N39" s="158">
        <f t="shared" si="2"/>
        <v>5429.8200000000006</v>
      </c>
      <c r="O39" s="158">
        <v>471.68</v>
      </c>
      <c r="P39" s="158">
        <v>446.88</v>
      </c>
      <c r="Q39" s="158">
        <v>462.05</v>
      </c>
      <c r="R39" s="158">
        <v>473.01</v>
      </c>
      <c r="S39" s="158">
        <v>470.38</v>
      </c>
      <c r="T39" s="158">
        <v>467.93</v>
      </c>
      <c r="U39" s="158">
        <v>463.64</v>
      </c>
      <c r="V39" s="158">
        <v>468.4</v>
      </c>
      <c r="W39" s="158">
        <v>430.08</v>
      </c>
      <c r="X39" s="158">
        <v>429.54</v>
      </c>
      <c r="Y39" s="158">
        <v>423.27</v>
      </c>
      <c r="Z39" s="455">
        <v>422.96</v>
      </c>
      <c r="AA39" s="158"/>
    </row>
    <row r="40" spans="1:31" x14ac:dyDescent="0.2">
      <c r="A40" t="s">
        <v>274</v>
      </c>
      <c r="B40" s="18"/>
      <c r="C40" s="175"/>
      <c r="D40" s="74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</row>
    <row r="41" spans="1:31" x14ac:dyDescent="0.2">
      <c r="A41" s="3" t="s">
        <v>394</v>
      </c>
      <c r="B41" s="190">
        <f>SUM(B26:B40)-B27-B30-B32-B39-B37-B40-B28</f>
        <v>109867.85</v>
      </c>
      <c r="C41" s="175"/>
      <c r="D41" s="74"/>
      <c r="N41" s="97">
        <f>SUM(N26:N40)-N27-N39-N37-N30-N40</f>
        <v>109867.85</v>
      </c>
      <c r="O41" s="97">
        <f t="shared" ref="O41:AB41" si="9">SUM(O26:O40)-O27-O39-O37-O30-O40</f>
        <v>5842.26</v>
      </c>
      <c r="P41" s="97">
        <f t="shared" si="9"/>
        <v>9627.4800000000014</v>
      </c>
      <c r="Q41" s="97">
        <f t="shared" si="9"/>
        <v>8953.0399999999991</v>
      </c>
      <c r="R41" s="97">
        <f t="shared" si="9"/>
        <v>9793.08</v>
      </c>
      <c r="S41" s="97">
        <f t="shared" si="9"/>
        <v>9458.67</v>
      </c>
      <c r="T41" s="97">
        <f>SUM(T26:T40)-T27-T39-T37-T30-T40</f>
        <v>8895.2800000000007</v>
      </c>
      <c r="U41" s="97">
        <f>SUM(U26:U40)-U27-U39-U37-U30-U40</f>
        <v>8409.9499999999989</v>
      </c>
      <c r="V41" s="97">
        <f t="shared" si="9"/>
        <v>9179.0700000000015</v>
      </c>
      <c r="W41" s="97">
        <f t="shared" si="9"/>
        <v>8398.9999999999982</v>
      </c>
      <c r="X41" s="97">
        <f t="shared" si="9"/>
        <v>9121.1499999999978</v>
      </c>
      <c r="Y41" s="97">
        <f t="shared" si="9"/>
        <v>9272.5</v>
      </c>
      <c r="Z41" s="97">
        <f>SUM(Z26:Z40)-Z27-Z39-Z37-Z30-Z40</f>
        <v>8628.14</v>
      </c>
      <c r="AA41" s="97">
        <f t="shared" si="9"/>
        <v>4406.25</v>
      </c>
      <c r="AB41" s="97">
        <f t="shared" si="9"/>
        <v>-118.02</v>
      </c>
      <c r="AC41" s="23"/>
    </row>
    <row r="42" spans="1:31" x14ac:dyDescent="0.2">
      <c r="A42" s="3" t="s">
        <v>395</v>
      </c>
      <c r="B42" s="191">
        <f>B27+B30+B32+B39+B40</f>
        <v>8415.25</v>
      </c>
      <c r="C42" s="190"/>
      <c r="D42" s="190"/>
      <c r="E42" s="190"/>
      <c r="N42" s="191">
        <f>SUM(O42:AA42)</f>
        <v>8415.25</v>
      </c>
      <c r="O42" s="191">
        <f>O27+O30+O32+O39+O40</f>
        <v>718.83</v>
      </c>
      <c r="P42" s="191">
        <f t="shared" ref="P42:AA42" si="10">P27+P30+P32+P39+P40</f>
        <v>694.03</v>
      </c>
      <c r="Q42" s="191">
        <f t="shared" si="10"/>
        <v>709.2</v>
      </c>
      <c r="R42" s="191">
        <f t="shared" si="10"/>
        <v>720.16</v>
      </c>
      <c r="S42" s="191">
        <f t="shared" si="10"/>
        <v>717.53</v>
      </c>
      <c r="T42" s="191">
        <f t="shared" si="10"/>
        <v>717.98</v>
      </c>
      <c r="U42" s="191">
        <f t="shared" si="10"/>
        <v>713.01</v>
      </c>
      <c r="V42" s="191">
        <f t="shared" si="10"/>
        <v>719.14</v>
      </c>
      <c r="W42" s="191">
        <f t="shared" si="10"/>
        <v>682.19</v>
      </c>
      <c r="X42" s="191">
        <f t="shared" si="10"/>
        <v>681.65000000000009</v>
      </c>
      <c r="Y42" s="191">
        <f t="shared" si="10"/>
        <v>675.38</v>
      </c>
      <c r="Z42" s="191">
        <f t="shared" si="10"/>
        <v>666.15</v>
      </c>
      <c r="AA42" s="191">
        <f t="shared" si="10"/>
        <v>0</v>
      </c>
      <c r="AB42" s="16"/>
      <c r="AC42" s="16"/>
      <c r="AD42" s="16"/>
      <c r="AE42" s="16"/>
    </row>
    <row r="43" spans="1:31" s="16" customFormat="1" x14ac:dyDescent="0.2">
      <c r="A43" s="3" t="s">
        <v>396</v>
      </c>
      <c r="B43" s="192">
        <f>B37</f>
        <v>0</v>
      </c>
      <c r="C43" s="191">
        <f t="shared" ref="C43:M43" si="11">C27+C30+C33+C40+C41</f>
        <v>0</v>
      </c>
      <c r="D43" s="191">
        <f t="shared" si="11"/>
        <v>0</v>
      </c>
      <c r="E43" s="191">
        <f t="shared" si="11"/>
        <v>0</v>
      </c>
      <c r="F43" s="191">
        <f t="shared" si="11"/>
        <v>0</v>
      </c>
      <c r="G43" s="191">
        <f t="shared" si="11"/>
        <v>0</v>
      </c>
      <c r="H43" s="191">
        <f t="shared" si="11"/>
        <v>0</v>
      </c>
      <c r="I43" s="191">
        <f t="shared" si="11"/>
        <v>0</v>
      </c>
      <c r="J43" s="191">
        <f t="shared" si="11"/>
        <v>0</v>
      </c>
      <c r="K43" s="191">
        <f t="shared" si="11"/>
        <v>0</v>
      </c>
      <c r="L43" s="191">
        <f t="shared" si="11"/>
        <v>0</v>
      </c>
      <c r="M43" s="191">
        <f t="shared" si="11"/>
        <v>0</v>
      </c>
      <c r="N43" s="192">
        <f t="shared" ref="N43:AA43" si="12">N37</f>
        <v>0</v>
      </c>
      <c r="O43" s="158">
        <f t="shared" si="12"/>
        <v>0</v>
      </c>
      <c r="P43" s="158">
        <f t="shared" si="12"/>
        <v>0</v>
      </c>
      <c r="Q43" s="158">
        <f t="shared" si="12"/>
        <v>0</v>
      </c>
      <c r="R43" s="158">
        <f t="shared" si="12"/>
        <v>0</v>
      </c>
      <c r="S43" s="158">
        <f t="shared" si="12"/>
        <v>0</v>
      </c>
      <c r="T43" s="158">
        <f t="shared" si="12"/>
        <v>0</v>
      </c>
      <c r="U43" s="158">
        <f t="shared" si="12"/>
        <v>0</v>
      </c>
      <c r="V43" s="158">
        <f t="shared" si="12"/>
        <v>0</v>
      </c>
      <c r="W43" s="158">
        <f t="shared" si="12"/>
        <v>0</v>
      </c>
      <c r="X43" s="158">
        <f t="shared" si="12"/>
        <v>0</v>
      </c>
      <c r="Y43" s="158">
        <f t="shared" si="12"/>
        <v>0</v>
      </c>
      <c r="Z43" s="158">
        <f t="shared" si="12"/>
        <v>0</v>
      </c>
      <c r="AA43" s="158">
        <f t="shared" si="12"/>
        <v>0</v>
      </c>
      <c r="AB43"/>
      <c r="AC43"/>
      <c r="AD43"/>
      <c r="AE43"/>
    </row>
    <row r="44" spans="1:31" x14ac:dyDescent="0.2">
      <c r="A44" s="3" t="s">
        <v>114</v>
      </c>
      <c r="B44" s="191">
        <f>SUM(B41:B43)</f>
        <v>118283.1</v>
      </c>
      <c r="C44" s="108"/>
      <c r="D44" s="7"/>
      <c r="H44" s="3">
        <f>SUM(H42:H43)</f>
        <v>0</v>
      </c>
      <c r="N44" s="191">
        <f>SUM(N41:N43)</f>
        <v>118283.1</v>
      </c>
      <c r="O44" s="158">
        <f>SUM(O41:O43)</f>
        <v>6561.09</v>
      </c>
      <c r="P44" s="158">
        <f>SUM(P41:P43)</f>
        <v>10321.510000000002</v>
      </c>
      <c r="Q44" s="158">
        <f>SUM(Q41:Q43)</f>
        <v>9662.24</v>
      </c>
      <c r="R44" s="158">
        <f t="shared" ref="R44:AA44" si="13">SUM(R41:R43)</f>
        <v>10513.24</v>
      </c>
      <c r="S44" s="158">
        <f t="shared" si="13"/>
        <v>10176.200000000001</v>
      </c>
      <c r="T44" s="158">
        <f t="shared" si="13"/>
        <v>9613.26</v>
      </c>
      <c r="U44" s="158">
        <f t="shared" si="13"/>
        <v>9122.9599999999991</v>
      </c>
      <c r="V44" s="158">
        <f t="shared" si="13"/>
        <v>9898.2100000000009</v>
      </c>
      <c r="W44" s="158">
        <f t="shared" si="13"/>
        <v>9081.1899999999987</v>
      </c>
      <c r="X44" s="158">
        <f t="shared" si="13"/>
        <v>9802.7999999999975</v>
      </c>
      <c r="Y44" s="158">
        <f t="shared" si="13"/>
        <v>9947.8799999999992</v>
      </c>
      <c r="Z44" s="158">
        <f t="shared" si="13"/>
        <v>9294.2899999999991</v>
      </c>
      <c r="AA44" s="158">
        <f t="shared" si="13"/>
        <v>4406.25</v>
      </c>
      <c r="AB44" s="16"/>
      <c r="AC44" s="16"/>
      <c r="AD44" s="16"/>
      <c r="AE44" s="16"/>
    </row>
    <row r="45" spans="1:31" s="16" customFormat="1" x14ac:dyDescent="0.2">
      <c r="A45" s="3"/>
      <c r="B45" s="5"/>
      <c r="C45" s="108"/>
      <c r="D45" s="7"/>
      <c r="N45" s="134"/>
      <c r="O45" s="134"/>
      <c r="P45" s="134"/>
      <c r="Q45" s="134"/>
      <c r="R45" s="134"/>
      <c r="S45" s="134"/>
      <c r="T45" s="134"/>
      <c r="U45" s="134"/>
      <c r="V45"/>
      <c r="W45"/>
      <c r="X45"/>
      <c r="Y45"/>
      <c r="Z45"/>
      <c r="AA45"/>
      <c r="AB45"/>
      <c r="AC45"/>
      <c r="AD45"/>
      <c r="AE45"/>
    </row>
    <row r="46" spans="1:31" x14ac:dyDescent="0.2">
      <c r="A46" s="3"/>
      <c r="B46" s="5"/>
      <c r="C46" s="5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</row>
    <row r="47" spans="1:31" x14ac:dyDescent="0.2">
      <c r="A47" s="3" t="s">
        <v>344</v>
      </c>
      <c r="B47" s="3"/>
      <c r="C47" s="5"/>
      <c r="D47" s="74">
        <f>D20-B41</f>
        <v>133021.4</v>
      </c>
      <c r="E47" s="11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</row>
    <row r="48" spans="1:31" x14ac:dyDescent="0.2">
      <c r="A48" s="3"/>
      <c r="B48" s="3"/>
      <c r="C48" s="5"/>
      <c r="D48" s="74"/>
      <c r="E48" s="11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</row>
    <row r="49" spans="1:31" x14ac:dyDescent="0.2">
      <c r="A49" s="127" t="s">
        <v>397</v>
      </c>
      <c r="C49" s="3"/>
      <c r="D49" s="12"/>
      <c r="E49" s="11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</row>
    <row r="50" spans="1:31" x14ac:dyDescent="0.2">
      <c r="A50" t="s">
        <v>17</v>
      </c>
      <c r="B50" s="96">
        <v>21894.6</v>
      </c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</row>
    <row r="51" spans="1:31" x14ac:dyDescent="0.2">
      <c r="A51" s="21" t="s">
        <v>132</v>
      </c>
      <c r="B51" s="96">
        <v>715.33</v>
      </c>
      <c r="C51" s="96"/>
      <c r="D51" s="23"/>
      <c r="E51" s="161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</row>
    <row r="52" spans="1:31" x14ac:dyDescent="0.2">
      <c r="A52" t="s">
        <v>12</v>
      </c>
      <c r="B52" s="96">
        <v>1706.07</v>
      </c>
      <c r="C52" s="96"/>
      <c r="D52" s="23"/>
      <c r="E52" s="161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3" customFormat="1" x14ac:dyDescent="0.2">
      <c r="A53" s="189" t="s">
        <v>413</v>
      </c>
      <c r="B53" s="657">
        <v>383.56</v>
      </c>
      <c r="C53" s="9" t="s">
        <v>293</v>
      </c>
      <c r="D53" s="96" t="s">
        <v>414</v>
      </c>
      <c r="E53" s="161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/>
      <c r="W53"/>
      <c r="X53"/>
      <c r="Y53"/>
      <c r="Z53"/>
      <c r="AA53"/>
      <c r="AB53"/>
      <c r="AC53"/>
      <c r="AD53"/>
      <c r="AE53"/>
    </row>
    <row r="54" spans="1:31" x14ac:dyDescent="0.2">
      <c r="A54" s="94" t="s">
        <v>262</v>
      </c>
      <c r="B54" s="96"/>
      <c r="C54" s="96"/>
      <c r="D54" s="134"/>
      <c r="E54" s="9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</row>
    <row r="55" spans="1:31" x14ac:dyDescent="0.2">
      <c r="A55" s="3" t="s">
        <v>406</v>
      </c>
      <c r="B55" s="239">
        <f>SUM(B50:B54)-B53</f>
        <v>24316</v>
      </c>
      <c r="C55" s="239"/>
      <c r="D55" s="131">
        <f>B55</f>
        <v>24316</v>
      </c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1:31" ht="25.5" x14ac:dyDescent="0.2">
      <c r="A56" s="520" t="s">
        <v>407</v>
      </c>
      <c r="B56" s="519">
        <f>B97</f>
        <v>2062.0200000000004</v>
      </c>
      <c r="C56" s="9"/>
      <c r="D56" s="10">
        <f>B56</f>
        <v>2062.0200000000004</v>
      </c>
      <c r="F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</row>
    <row r="57" spans="1:31" x14ac:dyDescent="0.2">
      <c r="A57" s="3" t="s">
        <v>131</v>
      </c>
      <c r="D57" s="147">
        <f>D47-D55-D56</f>
        <v>106643.37999999999</v>
      </c>
      <c r="E57" s="9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1:31" ht="13.5" thickBot="1" x14ac:dyDescent="0.25">
      <c r="A58" t="s">
        <v>151</v>
      </c>
      <c r="B58">
        <v>34608</v>
      </c>
      <c r="D58" s="23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</row>
    <row r="59" spans="1:31" ht="13.5" thickBot="1" x14ac:dyDescent="0.25">
      <c r="A59" s="684" t="s">
        <v>415</v>
      </c>
      <c r="B59" s="186"/>
      <c r="C59" s="186"/>
      <c r="D59" s="187">
        <f>D57-D58</f>
        <v>106643.37999999999</v>
      </c>
      <c r="E59" s="9" t="s">
        <v>412</v>
      </c>
      <c r="F59" s="134"/>
      <c r="G59" s="134"/>
      <c r="H59" s="134"/>
      <c r="I59" s="134"/>
      <c r="J59" s="134"/>
      <c r="K59" s="134"/>
      <c r="L59" s="134"/>
      <c r="M59" s="134"/>
    </row>
    <row r="60" spans="1:31" ht="13.5" thickBot="1" x14ac:dyDescent="0.25">
      <c r="F60" s="73"/>
    </row>
    <row r="61" spans="1:31" ht="13.5" thickBot="1" x14ac:dyDescent="0.25">
      <c r="A61" s="178" t="s">
        <v>21</v>
      </c>
      <c r="B61" s="179">
        <f>D59</f>
        <v>106643.37999999999</v>
      </c>
      <c r="C61" s="179"/>
      <c r="D61" s="120"/>
      <c r="E61" s="180"/>
      <c r="G61" s="74"/>
      <c r="H61" s="74"/>
      <c r="I61" s="74"/>
      <c r="J61" s="6"/>
    </row>
    <row r="62" spans="1:31" x14ac:dyDescent="0.2">
      <c r="A62" s="24"/>
      <c r="E62" s="181"/>
    </row>
    <row r="63" spans="1:31" ht="51" x14ac:dyDescent="0.2">
      <c r="A63" s="240" t="s">
        <v>283</v>
      </c>
      <c r="D63" s="182" t="s">
        <v>115</v>
      </c>
      <c r="E63" s="181"/>
    </row>
    <row r="64" spans="1:31" x14ac:dyDescent="0.2">
      <c r="A64" s="24" t="s">
        <v>280</v>
      </c>
      <c r="B64" s="7">
        <f>D72</f>
        <v>58653.858999999997</v>
      </c>
      <c r="C64" s="7"/>
      <c r="D64" s="147">
        <f>C86</f>
        <v>0</v>
      </c>
      <c r="E64" s="183">
        <f>B64-D64</f>
        <v>58653.858999999997</v>
      </c>
    </row>
    <row r="65" spans="1:11" x14ac:dyDescent="0.2">
      <c r="A65" s="24" t="s">
        <v>282</v>
      </c>
      <c r="B65" s="157">
        <f>D71</f>
        <v>31993.013999999999</v>
      </c>
      <c r="C65" s="157"/>
      <c r="D65" s="23">
        <f>'OBIETTIVI DI GRUPPO E IND(2)'!X112</f>
        <v>0</v>
      </c>
      <c r="E65" s="183">
        <f>SUM(B65:D65)</f>
        <v>31993.013999999999</v>
      </c>
    </row>
    <row r="66" spans="1:11" x14ac:dyDescent="0.2">
      <c r="A66" s="24" t="s">
        <v>281</v>
      </c>
      <c r="B66" s="131">
        <f>D70</f>
        <v>15996.507</v>
      </c>
      <c r="C66" s="131"/>
      <c r="D66" s="118">
        <v>0</v>
      </c>
      <c r="E66" s="194">
        <f>SUM(B66:D66)</f>
        <v>15996.507</v>
      </c>
    </row>
    <row r="67" spans="1:11" ht="13.5" thickBot="1" x14ac:dyDescent="0.25">
      <c r="A67" s="25" t="s">
        <v>11</v>
      </c>
      <c r="B67" s="184">
        <f>SUM(B64:B66)</f>
        <v>106643.37999999999</v>
      </c>
      <c r="C67" s="185"/>
      <c r="D67" s="142"/>
      <c r="E67" s="142">
        <f>SUM(E64:E66)</f>
        <v>106643.37999999999</v>
      </c>
    </row>
    <row r="68" spans="1:11" ht="13.5" thickBot="1" x14ac:dyDescent="0.25">
      <c r="G68" s="147"/>
      <c r="H68" s="147"/>
      <c r="I68" s="147"/>
      <c r="J68" s="233"/>
      <c r="K68" s="234"/>
    </row>
    <row r="69" spans="1:11" x14ac:dyDescent="0.2">
      <c r="A69" s="136" t="s">
        <v>22</v>
      </c>
      <c r="B69" s="120"/>
      <c r="C69" s="120"/>
      <c r="D69" s="137"/>
      <c r="E69" s="95"/>
      <c r="G69" s="74"/>
      <c r="H69" s="74"/>
      <c r="I69" s="74"/>
      <c r="J69" s="74"/>
      <c r="K69" s="74"/>
    </row>
    <row r="70" spans="1:11" x14ac:dyDescent="0.2">
      <c r="A70" s="138" t="s">
        <v>23</v>
      </c>
      <c r="D70" s="139">
        <f>ROUND(D57*15%,4)</f>
        <v>15996.507</v>
      </c>
      <c r="J70" s="235"/>
    </row>
    <row r="71" spans="1:11" x14ac:dyDescent="0.2">
      <c r="A71" s="24" t="s">
        <v>24</v>
      </c>
      <c r="D71" s="132">
        <f>ROUND(+D57*30%,4)</f>
        <v>31993.013999999999</v>
      </c>
      <c r="J71" s="101"/>
    </row>
    <row r="72" spans="1:11" x14ac:dyDescent="0.2">
      <c r="A72" s="24" t="s">
        <v>25</v>
      </c>
      <c r="D72" s="176">
        <f>ROUND(+D57*55%,4)</f>
        <v>58653.858999999997</v>
      </c>
      <c r="J72" s="101"/>
    </row>
    <row r="73" spans="1:11" ht="13.5" thickBot="1" x14ac:dyDescent="0.25">
      <c r="A73" s="25"/>
      <c r="B73" s="121"/>
      <c r="C73" s="121"/>
      <c r="D73" s="177">
        <f>SUM(D70:D72)</f>
        <v>106643.38</v>
      </c>
      <c r="J73" s="101"/>
    </row>
    <row r="74" spans="1:11" ht="13.5" thickBot="1" x14ac:dyDescent="0.25"/>
    <row r="75" spans="1:11" x14ac:dyDescent="0.2">
      <c r="A75" s="136" t="s">
        <v>244</v>
      </c>
      <c r="B75" s="137"/>
    </row>
    <row r="76" spans="1:11" x14ac:dyDescent="0.2">
      <c r="A76" s="24" t="s">
        <v>144</v>
      </c>
      <c r="B76" s="141">
        <f>'OBIETTIVI DI GRUPPO E IND(2)'!W107</f>
        <v>661.47999999999979</v>
      </c>
      <c r="C76" s="7"/>
    </row>
    <row r="77" spans="1:11" x14ac:dyDescent="0.2">
      <c r="A77" s="24" t="s">
        <v>145</v>
      </c>
      <c r="B77" s="229">
        <f>istituzionali!N55</f>
        <v>298.95999999999998</v>
      </c>
    </row>
    <row r="78" spans="1:11" x14ac:dyDescent="0.2">
      <c r="A78" s="24" t="s">
        <v>146</v>
      </c>
      <c r="B78" s="141">
        <f>SISTEMA!R61</f>
        <v>182.54</v>
      </c>
      <c r="C78" s="7"/>
    </row>
    <row r="79" spans="1:11" x14ac:dyDescent="0.2">
      <c r="A79" s="226" t="s">
        <v>265</v>
      </c>
      <c r="B79" s="227">
        <f>SUM(B76:B78)</f>
        <v>1142.9799999999998</v>
      </c>
      <c r="C79" s="8"/>
      <c r="D79" s="8">
        <f>+D73-B82</f>
        <v>103438.38</v>
      </c>
    </row>
    <row r="80" spans="1:11" x14ac:dyDescent="0.2">
      <c r="A80" s="228" t="s">
        <v>263</v>
      </c>
      <c r="B80" s="229">
        <f>B54</f>
        <v>0</v>
      </c>
      <c r="E80" s="9" t="s">
        <v>411</v>
      </c>
    </row>
    <row r="81" spans="1:11" x14ac:dyDescent="0.2">
      <c r="A81" s="228" t="s">
        <v>345</v>
      </c>
      <c r="B81" s="229">
        <f>B56</f>
        <v>2062.0200000000004</v>
      </c>
      <c r="D81" s="7"/>
    </row>
    <row r="82" spans="1:11" ht="15.75" thickBot="1" x14ac:dyDescent="0.3">
      <c r="A82" s="230" t="s">
        <v>264</v>
      </c>
      <c r="B82" s="231">
        <f>SUM(B79:B81)</f>
        <v>3205</v>
      </c>
    </row>
    <row r="83" spans="1:11" ht="13.5" thickBot="1" x14ac:dyDescent="0.25"/>
    <row r="84" spans="1:11" x14ac:dyDescent="0.2">
      <c r="A84" s="382" t="s">
        <v>201</v>
      </c>
      <c r="B84" s="383"/>
      <c r="C84" s="383"/>
      <c r="D84" s="383"/>
      <c r="E84" s="383"/>
      <c r="F84" s="384"/>
      <c r="G84" s="74"/>
      <c r="H84" s="74"/>
    </row>
    <row r="85" spans="1:11" ht="25.5" x14ac:dyDescent="0.2">
      <c r="A85" s="24"/>
      <c r="B85" s="74" t="s">
        <v>202</v>
      </c>
      <c r="C85" s="232" t="s">
        <v>270</v>
      </c>
      <c r="D85" s="74" t="s">
        <v>271</v>
      </c>
      <c r="E85" s="74" t="s">
        <v>203</v>
      </c>
      <c r="F85" s="385" t="s">
        <v>290</v>
      </c>
      <c r="G85" s="232"/>
      <c r="H85" s="232"/>
      <c r="J85" s="3"/>
      <c r="K85" s="2"/>
    </row>
    <row r="86" spans="1:11" x14ac:dyDescent="0.2">
      <c r="A86" s="24" t="s">
        <v>280</v>
      </c>
      <c r="B86" s="147">
        <f>'OBIETTIVI DI GRUPPO E IND(2)'!T105</f>
        <v>58653.900000000023</v>
      </c>
      <c r="C86" s="241">
        <f>'OBIETTIVI DI GRUPPO E IND(2)'!X112</f>
        <v>0</v>
      </c>
      <c r="D86" s="147">
        <f>B86-C86</f>
        <v>58653.900000000023</v>
      </c>
      <c r="E86" s="147">
        <f>'OBIETTIVI DI GRUPPO E IND(2)'!W105</f>
        <v>661.47999999999979</v>
      </c>
      <c r="F86" s="386">
        <f>'OBIETTIVI DI GRUPPO E IND(2)'!X105</f>
        <v>57992.380000000012</v>
      </c>
      <c r="G86" s="91"/>
      <c r="H86" s="23"/>
      <c r="J86" s="3"/>
      <c r="K86" s="2"/>
    </row>
    <row r="87" spans="1:11" x14ac:dyDescent="0.2">
      <c r="A87" s="24" t="s">
        <v>282</v>
      </c>
      <c r="B87" s="147">
        <f>istituzionali!L53</f>
        <v>31993.020000000008</v>
      </c>
      <c r="C87" s="147">
        <f>D65</f>
        <v>0</v>
      </c>
      <c r="D87" s="147">
        <f>B87+C87</f>
        <v>31993.020000000008</v>
      </c>
      <c r="E87" s="147">
        <f>istituzionali!N53</f>
        <v>298.95999999999998</v>
      </c>
      <c r="F87" s="386">
        <f>istituzionali!O53</f>
        <v>31694.060000000012</v>
      </c>
      <c r="G87" s="91"/>
      <c r="H87" s="23"/>
      <c r="J87" s="3"/>
      <c r="K87" s="2"/>
    </row>
    <row r="88" spans="1:11" x14ac:dyDescent="0.2">
      <c r="A88" s="24" t="s">
        <v>281</v>
      </c>
      <c r="B88" s="147">
        <f>SISTEMA!P55</f>
        <v>15996.53</v>
      </c>
      <c r="C88" s="147"/>
      <c r="D88" s="147">
        <f>B88+C88</f>
        <v>15996.53</v>
      </c>
      <c r="E88" s="147">
        <f>SISTEMA!R55</f>
        <v>182.54</v>
      </c>
      <c r="F88" s="386">
        <f>SISTEMA!S55</f>
        <v>15813.99</v>
      </c>
      <c r="G88" s="91"/>
      <c r="H88" s="23"/>
      <c r="J88" s="3"/>
      <c r="K88" s="2"/>
    </row>
    <row r="89" spans="1:11" ht="13.5" thickBot="1" x14ac:dyDescent="0.25">
      <c r="A89" s="263" t="s">
        <v>11</v>
      </c>
      <c r="B89" s="251">
        <f>SUM(B86:B88)</f>
        <v>106643.45000000003</v>
      </c>
      <c r="C89" s="251"/>
      <c r="D89" s="251">
        <f>SUM(D86:D88)</f>
        <v>106643.45000000003</v>
      </c>
      <c r="E89" s="251">
        <f>SUM(E86:E88)-0.03</f>
        <v>1142.9499999999998</v>
      </c>
      <c r="F89" s="177">
        <f>SUM(F86:F88)</f>
        <v>105500.43000000004</v>
      </c>
      <c r="G89" s="74"/>
      <c r="H89" s="74"/>
      <c r="J89" s="3"/>
      <c r="K89" s="2"/>
    </row>
    <row r="91" spans="1:11" ht="13.5" thickBot="1" x14ac:dyDescent="0.25"/>
    <row r="92" spans="1:11" ht="51" x14ac:dyDescent="0.2">
      <c r="A92" s="659" t="s">
        <v>398</v>
      </c>
      <c r="B92" s="660"/>
      <c r="C92" s="658"/>
      <c r="D92" s="658"/>
    </row>
    <row r="93" spans="1:11" x14ac:dyDescent="0.2">
      <c r="A93" s="24"/>
      <c r="B93" s="661"/>
    </row>
    <row r="94" spans="1:11" x14ac:dyDescent="0.2">
      <c r="A94" s="662" t="s">
        <v>399</v>
      </c>
      <c r="B94" s="132">
        <v>15791.32</v>
      </c>
    </row>
    <row r="95" spans="1:11" x14ac:dyDescent="0.2">
      <c r="A95" s="662" t="s">
        <v>400</v>
      </c>
      <c r="B95" s="132">
        <f>B31</f>
        <v>13013.97</v>
      </c>
    </row>
    <row r="96" spans="1:11" x14ac:dyDescent="0.2">
      <c r="A96" s="662" t="s">
        <v>408</v>
      </c>
      <c r="B96" s="132">
        <f>B51</f>
        <v>715.33</v>
      </c>
    </row>
    <row r="97" spans="1:2" ht="13.5" thickBot="1" x14ac:dyDescent="0.25">
      <c r="A97" s="663" t="s">
        <v>401</v>
      </c>
      <c r="B97" s="664">
        <f>B94-B95-B96</f>
        <v>2062.0200000000004</v>
      </c>
    </row>
  </sheetData>
  <mergeCells count="3">
    <mergeCell ref="A17:B17"/>
    <mergeCell ref="A19:B19"/>
    <mergeCell ref="A2:B2"/>
  </mergeCells>
  <phoneticPr fontId="7" type="noConversion"/>
  <printOptions horizontalCentered="1" verticalCentered="1" gridLines="1"/>
  <pageMargins left="0.39370078740157483" right="0.19685039370078741" top="1.1023622047244095" bottom="0.98425196850393704" header="0.23622047244094491" footer="0.51181102362204722"/>
  <pageSetup paperSize="9" scale="56" orientation="portrait" horizontalDpi="300" verticalDpi="300" r:id="rId1"/>
  <headerFooter alignWithMargins="0">
    <oddHeader xml:space="preserve">&amp;C
</oddHeader>
    <oddFooter>&amp;L&amp;D&amp;F</oddFooter>
  </headerFooter>
  <rowBreaks count="1" manualBreakCount="1">
    <brk id="28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3"/>
  <sheetViews>
    <sheetView zoomScaleNormal="100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C1" sqref="C1:S1048576"/>
    </sheetView>
  </sheetViews>
  <sheetFormatPr defaultColWidth="10.28515625" defaultRowHeight="12.75" x14ac:dyDescent="0.2"/>
  <cols>
    <col min="1" max="1" width="4.5703125" style="523" customWidth="1"/>
    <col min="2" max="2" width="12.85546875" style="523" customWidth="1"/>
    <col min="3" max="3" width="13.140625" style="523" bestFit="1" customWidth="1"/>
    <col min="4" max="4" width="11.28515625" style="523" customWidth="1"/>
    <col min="5" max="5" width="10.28515625" style="523" customWidth="1"/>
    <col min="6" max="6" width="14.5703125" style="523" customWidth="1"/>
    <col min="7" max="7" width="13.7109375" style="523" customWidth="1"/>
    <col min="8" max="10" width="10.28515625" style="523" customWidth="1"/>
    <col min="11" max="11" width="12.5703125" style="523" customWidth="1"/>
    <col min="12" max="12" width="10.28515625" style="523" customWidth="1"/>
    <col min="13" max="13" width="10.28515625" style="574" customWidth="1"/>
    <col min="14" max="15" width="10.28515625" style="523" customWidth="1"/>
    <col min="16" max="16" width="13.28515625" style="578" customWidth="1"/>
    <col min="17" max="17" width="10.28515625" style="578" customWidth="1"/>
    <col min="18" max="18" width="10.7109375" style="527" customWidth="1"/>
    <col min="19" max="19" width="13.85546875" style="528" customWidth="1"/>
    <col min="20" max="16384" width="10.28515625" style="523"/>
  </cols>
  <sheetData>
    <row r="1" spans="1:20" ht="14.45" customHeight="1" x14ac:dyDescent="0.2">
      <c r="B1" s="524" t="s">
        <v>352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5"/>
      <c r="N1" s="524"/>
      <c r="O1" s="524"/>
      <c r="P1" s="526"/>
      <c r="Q1" s="526"/>
    </row>
    <row r="2" spans="1:20" ht="38.25" x14ac:dyDescent="0.2">
      <c r="A2" s="523" t="s">
        <v>26</v>
      </c>
      <c r="B2" s="524" t="s">
        <v>27</v>
      </c>
      <c r="C2" s="524" t="s">
        <v>28</v>
      </c>
      <c r="D2" s="524" t="s">
        <v>29</v>
      </c>
      <c r="E2" s="524" t="s">
        <v>31</v>
      </c>
      <c r="F2" s="524" t="s">
        <v>32</v>
      </c>
      <c r="G2" s="529" t="s">
        <v>252</v>
      </c>
      <c r="H2" s="529" t="s">
        <v>33</v>
      </c>
      <c r="I2" s="530" t="s">
        <v>251</v>
      </c>
      <c r="J2" s="529" t="s">
        <v>180</v>
      </c>
      <c r="K2" s="524" t="s">
        <v>117</v>
      </c>
      <c r="L2" s="524" t="s">
        <v>232</v>
      </c>
      <c r="M2" s="651" t="s">
        <v>147</v>
      </c>
      <c r="N2" s="529" t="s">
        <v>34</v>
      </c>
      <c r="O2" s="524" t="s">
        <v>182</v>
      </c>
      <c r="P2" s="526" t="s">
        <v>35</v>
      </c>
      <c r="Q2" s="531" t="s">
        <v>250</v>
      </c>
      <c r="R2" s="530" t="s">
        <v>179</v>
      </c>
      <c r="S2" s="530" t="s">
        <v>181</v>
      </c>
    </row>
    <row r="3" spans="1:20" x14ac:dyDescent="0.2">
      <c r="A3" s="559">
        <v>1</v>
      </c>
      <c r="B3" s="547" t="s">
        <v>363</v>
      </c>
      <c r="C3" s="547" t="s">
        <v>64</v>
      </c>
      <c r="D3" s="558">
        <v>1101</v>
      </c>
      <c r="E3" s="559" t="s">
        <v>37</v>
      </c>
      <c r="F3" s="540" t="s">
        <v>364</v>
      </c>
      <c r="G3" s="540">
        <v>186</v>
      </c>
      <c r="H3" s="554">
        <f>VLOOKUP(E3:$E$53,tabella,2)</f>
        <v>0.70850000000000002</v>
      </c>
      <c r="I3" s="553"/>
      <c r="J3" s="553"/>
      <c r="K3" s="553">
        <f t="shared" ref="K3:K7" si="0">ROUND(G3-J3,0)</f>
        <v>186</v>
      </c>
      <c r="L3" s="555">
        <f t="shared" ref="L3:L35" si="1">ROUND(K3/260,5)</f>
        <v>0.71538000000000002</v>
      </c>
      <c r="M3" s="554">
        <v>1</v>
      </c>
      <c r="N3" s="555">
        <f>ROUND(60/65,5)</f>
        <v>0.92308000000000001</v>
      </c>
      <c r="O3" s="556">
        <f t="shared" ref="O3:O6" si="2">IF(G3&lt;100,0,(N3*L3)*H3*M3)</f>
        <v>0.46786007952840009</v>
      </c>
      <c r="P3" s="545">
        <f t="shared" ref="P3:P31" si="3">ROUND(O3*$C$57,2)</f>
        <v>252.19</v>
      </c>
      <c r="Q3" s="545"/>
      <c r="R3" s="545">
        <f t="shared" ref="R3:R14" si="4">ROUND(P3/G3*Q3,2)</f>
        <v>0</v>
      </c>
      <c r="S3" s="536">
        <f>P3-R3</f>
        <v>252.19</v>
      </c>
    </row>
    <row r="4" spans="1:20" s="537" customFormat="1" x14ac:dyDescent="0.2">
      <c r="A4" s="559">
        <v>2</v>
      </c>
      <c r="B4" s="547" t="s">
        <v>160</v>
      </c>
      <c r="C4" s="547" t="s">
        <v>161</v>
      </c>
      <c r="D4" s="558">
        <v>1101</v>
      </c>
      <c r="E4" s="559" t="s">
        <v>44</v>
      </c>
      <c r="F4" s="540"/>
      <c r="G4" s="540">
        <v>260</v>
      </c>
      <c r="H4" s="554">
        <f>VLOOKUP(E4:$E$53,tabella,2)</f>
        <v>0.79930000000000001</v>
      </c>
      <c r="I4" s="553">
        <v>5</v>
      </c>
      <c r="J4" s="553">
        <v>5</v>
      </c>
      <c r="K4" s="553">
        <f t="shared" si="0"/>
        <v>255</v>
      </c>
      <c r="L4" s="555">
        <f t="shared" si="1"/>
        <v>0.98077000000000003</v>
      </c>
      <c r="M4" s="554">
        <v>1</v>
      </c>
      <c r="N4" s="555">
        <f>ROUND(65/65,5)</f>
        <v>1</v>
      </c>
      <c r="O4" s="556">
        <f t="shared" si="2"/>
        <v>0.78392946100000005</v>
      </c>
      <c r="P4" s="545">
        <f t="shared" si="3"/>
        <v>422.56</v>
      </c>
      <c r="Q4" s="545">
        <v>5</v>
      </c>
      <c r="R4" s="545">
        <f t="shared" si="4"/>
        <v>8.1300000000000008</v>
      </c>
      <c r="S4" s="536">
        <f>P4-R4</f>
        <v>414.43</v>
      </c>
    </row>
    <row r="5" spans="1:20" s="524" customFormat="1" ht="12" customHeight="1" x14ac:dyDescent="0.2">
      <c r="A5" s="559">
        <v>3</v>
      </c>
      <c r="B5" s="547" t="s">
        <v>42</v>
      </c>
      <c r="C5" s="547" t="s">
        <v>43</v>
      </c>
      <c r="D5" s="558">
        <v>1102</v>
      </c>
      <c r="E5" s="559" t="s">
        <v>41</v>
      </c>
      <c r="F5" s="540"/>
      <c r="G5" s="540">
        <v>260</v>
      </c>
      <c r="H5" s="554">
        <f>VLOOKUP(E5:$E$53,tabella,2)</f>
        <v>0.749</v>
      </c>
      <c r="I5" s="553"/>
      <c r="J5" s="553"/>
      <c r="K5" s="553">
        <f t="shared" si="0"/>
        <v>260</v>
      </c>
      <c r="L5" s="555">
        <f t="shared" si="1"/>
        <v>1</v>
      </c>
      <c r="M5" s="554">
        <v>1</v>
      </c>
      <c r="N5" s="555">
        <f>ROUND(65/65,5)</f>
        <v>1</v>
      </c>
      <c r="O5" s="556">
        <f t="shared" si="2"/>
        <v>0.749</v>
      </c>
      <c r="P5" s="545">
        <f t="shared" si="3"/>
        <v>403.74</v>
      </c>
      <c r="Q5" s="545"/>
      <c r="R5" s="545">
        <f t="shared" si="4"/>
        <v>0</v>
      </c>
      <c r="S5" s="536">
        <f t="shared" ref="S5:S37" si="5">P5-R5</f>
        <v>403.74</v>
      </c>
    </row>
    <row r="6" spans="1:20" x14ac:dyDescent="0.2">
      <c r="A6" s="559">
        <v>4</v>
      </c>
      <c r="B6" s="547" t="s">
        <v>48</v>
      </c>
      <c r="C6" s="547" t="s">
        <v>49</v>
      </c>
      <c r="D6" s="558">
        <v>1101</v>
      </c>
      <c r="E6" s="559" t="s">
        <v>41</v>
      </c>
      <c r="F6" s="540"/>
      <c r="G6" s="540">
        <v>260</v>
      </c>
      <c r="H6" s="554">
        <f>VLOOKUP(E6:$E$53,tabella,2)</f>
        <v>0.749</v>
      </c>
      <c r="I6" s="553">
        <v>4</v>
      </c>
      <c r="J6" s="553">
        <v>4</v>
      </c>
      <c r="K6" s="553">
        <f t="shared" si="0"/>
        <v>256</v>
      </c>
      <c r="L6" s="555">
        <f t="shared" si="1"/>
        <v>0.98462000000000005</v>
      </c>
      <c r="M6" s="554">
        <v>0.5</v>
      </c>
      <c r="N6" s="555">
        <f>ROUND(65/65,5)</f>
        <v>1</v>
      </c>
      <c r="O6" s="556">
        <f t="shared" si="2"/>
        <v>0.36874019000000002</v>
      </c>
      <c r="P6" s="545">
        <f t="shared" si="3"/>
        <v>198.76</v>
      </c>
      <c r="Q6" s="545">
        <v>4</v>
      </c>
      <c r="R6" s="545">
        <f t="shared" si="4"/>
        <v>3.06</v>
      </c>
      <c r="S6" s="536">
        <f t="shared" si="5"/>
        <v>195.7</v>
      </c>
      <c r="T6" s="546"/>
    </row>
    <row r="7" spans="1:20" x14ac:dyDescent="0.2">
      <c r="A7" s="559"/>
      <c r="B7" s="547" t="s">
        <v>48</v>
      </c>
      <c r="C7" s="547" t="s">
        <v>49</v>
      </c>
      <c r="D7" s="558">
        <v>1102</v>
      </c>
      <c r="E7" s="559" t="s">
        <v>41</v>
      </c>
      <c r="F7" s="540"/>
      <c r="G7" s="540">
        <v>260</v>
      </c>
      <c r="H7" s="554">
        <f>VLOOKUP(E7:$E$53,tabella,2)</f>
        <v>0.749</v>
      </c>
      <c r="I7" s="553">
        <v>4</v>
      </c>
      <c r="J7" s="553">
        <v>4</v>
      </c>
      <c r="K7" s="553">
        <f t="shared" si="0"/>
        <v>256</v>
      </c>
      <c r="L7" s="555">
        <f t="shared" si="1"/>
        <v>0.98462000000000005</v>
      </c>
      <c r="M7" s="554">
        <v>0.5</v>
      </c>
      <c r="N7" s="555">
        <f>ROUND(65/65,5)</f>
        <v>1</v>
      </c>
      <c r="O7" s="556">
        <f>IF(G7&lt;100,0,(N7*L7)*H7*M7)</f>
        <v>0.36874019000000002</v>
      </c>
      <c r="P7" s="545">
        <f t="shared" si="3"/>
        <v>198.76</v>
      </c>
      <c r="Q7" s="545">
        <v>4</v>
      </c>
      <c r="R7" s="545">
        <f t="shared" si="4"/>
        <v>3.06</v>
      </c>
      <c r="S7" s="536">
        <f t="shared" si="5"/>
        <v>195.7</v>
      </c>
    </row>
    <row r="8" spans="1:20" x14ac:dyDescent="0.2">
      <c r="A8" s="559">
        <v>5</v>
      </c>
      <c r="B8" s="547" t="s">
        <v>57</v>
      </c>
      <c r="C8" s="547" t="s">
        <v>58</v>
      </c>
      <c r="D8" s="558">
        <v>1102</v>
      </c>
      <c r="E8" s="559" t="s">
        <v>41</v>
      </c>
      <c r="F8" s="540"/>
      <c r="G8" s="540">
        <v>260</v>
      </c>
      <c r="H8" s="554">
        <f>VLOOKUP(E8:$E$53,tabella,2)</f>
        <v>0.749</v>
      </c>
      <c r="I8" s="553">
        <v>9</v>
      </c>
      <c r="J8" s="553">
        <v>9</v>
      </c>
      <c r="K8" s="553">
        <f t="shared" ref="K8:K10" si="6">ROUND(G8-J8,0)</f>
        <v>251</v>
      </c>
      <c r="L8" s="555">
        <f t="shared" si="1"/>
        <v>0.96538000000000002</v>
      </c>
      <c r="M8" s="554">
        <v>1</v>
      </c>
      <c r="N8" s="555">
        <f>ROUND(58/65,5)</f>
        <v>0.89231000000000005</v>
      </c>
      <c r="O8" s="556">
        <f t="shared" ref="O8:O12" si="7">IF(G8&lt;100,0,(N8*L8)*H8*M8)</f>
        <v>0.6452022526222001</v>
      </c>
      <c r="P8" s="545">
        <f t="shared" si="3"/>
        <v>347.78</v>
      </c>
      <c r="Q8" s="545">
        <v>9</v>
      </c>
      <c r="R8" s="545">
        <f t="shared" si="4"/>
        <v>12.04</v>
      </c>
      <c r="S8" s="536">
        <f t="shared" si="5"/>
        <v>335.73999999999995</v>
      </c>
    </row>
    <row r="9" spans="1:20" x14ac:dyDescent="0.2">
      <c r="A9" s="559">
        <v>6</v>
      </c>
      <c r="B9" s="547" t="s">
        <v>195</v>
      </c>
      <c r="C9" s="547" t="s">
        <v>196</v>
      </c>
      <c r="D9" s="558">
        <v>1101</v>
      </c>
      <c r="E9" s="559" t="s">
        <v>41</v>
      </c>
      <c r="F9" s="540"/>
      <c r="G9" s="540">
        <v>260</v>
      </c>
      <c r="H9" s="554">
        <f>VLOOKUP(E9:$E$53,tabella,2)</f>
        <v>0.749</v>
      </c>
      <c r="I9" s="553">
        <v>8</v>
      </c>
      <c r="J9" s="553">
        <v>8</v>
      </c>
      <c r="K9" s="553">
        <f t="shared" si="6"/>
        <v>252</v>
      </c>
      <c r="L9" s="555">
        <f t="shared" si="1"/>
        <v>0.96923000000000004</v>
      </c>
      <c r="M9" s="554">
        <v>1</v>
      </c>
      <c r="N9" s="555">
        <f>ROUND(62/65,5)</f>
        <v>0.95384999999999998</v>
      </c>
      <c r="O9" s="556">
        <f t="shared" si="7"/>
        <v>0.69245052658950002</v>
      </c>
      <c r="P9" s="545">
        <f t="shared" si="3"/>
        <v>373.25</v>
      </c>
      <c r="Q9" s="545">
        <v>8</v>
      </c>
      <c r="R9" s="545">
        <f t="shared" si="4"/>
        <v>11.48</v>
      </c>
      <c r="S9" s="536">
        <f t="shared" si="5"/>
        <v>361.77</v>
      </c>
    </row>
    <row r="10" spans="1:20" x14ac:dyDescent="0.2">
      <c r="A10" s="559">
        <v>7</v>
      </c>
      <c r="B10" s="547" t="s">
        <v>45</v>
      </c>
      <c r="C10" s="547" t="s">
        <v>46</v>
      </c>
      <c r="D10" s="558">
        <v>1102</v>
      </c>
      <c r="E10" s="559" t="s">
        <v>44</v>
      </c>
      <c r="F10" s="540"/>
      <c r="G10" s="540">
        <v>260</v>
      </c>
      <c r="H10" s="554">
        <f>VLOOKUP(E10:$E$53,tabella,2)</f>
        <v>0.79930000000000001</v>
      </c>
      <c r="I10" s="553"/>
      <c r="J10" s="553"/>
      <c r="K10" s="553">
        <f t="shared" si="6"/>
        <v>260</v>
      </c>
      <c r="L10" s="555">
        <f t="shared" si="1"/>
        <v>1</v>
      </c>
      <c r="M10" s="554">
        <v>1</v>
      </c>
      <c r="N10" s="555">
        <f>ROUND(65/65,5)</f>
        <v>1</v>
      </c>
      <c r="O10" s="556">
        <f t="shared" si="7"/>
        <v>0.79930000000000001</v>
      </c>
      <c r="P10" s="545">
        <f t="shared" si="3"/>
        <v>430.85</v>
      </c>
      <c r="Q10" s="545"/>
      <c r="R10" s="545">
        <f t="shared" si="4"/>
        <v>0</v>
      </c>
      <c r="S10" s="536">
        <f t="shared" si="5"/>
        <v>430.85</v>
      </c>
    </row>
    <row r="11" spans="1:20" s="547" customFormat="1" x14ac:dyDescent="0.2">
      <c r="A11" s="559">
        <v>8</v>
      </c>
      <c r="B11" s="547" t="s">
        <v>75</v>
      </c>
      <c r="C11" s="547" t="s">
        <v>76</v>
      </c>
      <c r="D11" s="558">
        <v>1102</v>
      </c>
      <c r="E11" s="559" t="s">
        <v>47</v>
      </c>
      <c r="F11" s="540" t="s">
        <v>356</v>
      </c>
      <c r="G11" s="630">
        <f>307/365*260</f>
        <v>218.68493150684932</v>
      </c>
      <c r="H11" s="554">
        <f>VLOOKUP(E11:$E$53,tabella,2)</f>
        <v>0.86970000000000003</v>
      </c>
      <c r="I11" s="553">
        <v>3</v>
      </c>
      <c r="J11" s="553"/>
      <c r="K11" s="553">
        <f>ROUND(G11-J11,0)</f>
        <v>219</v>
      </c>
      <c r="L11" s="555">
        <f t="shared" si="1"/>
        <v>0.84231</v>
      </c>
      <c r="M11" s="554">
        <v>0.5</v>
      </c>
      <c r="N11" s="555">
        <f>ROUND(76/80,5)</f>
        <v>0.95</v>
      </c>
      <c r="O11" s="556">
        <f t="shared" si="7"/>
        <v>0.347964578325</v>
      </c>
      <c r="P11" s="545">
        <f t="shared" si="3"/>
        <v>187.56</v>
      </c>
      <c r="Q11" s="545"/>
      <c r="R11" s="545">
        <f t="shared" si="4"/>
        <v>0</v>
      </c>
      <c r="S11" s="536">
        <f t="shared" si="5"/>
        <v>187.56</v>
      </c>
    </row>
    <row r="12" spans="1:20" x14ac:dyDescent="0.2">
      <c r="A12" s="559"/>
      <c r="B12" s="547" t="s">
        <v>75</v>
      </c>
      <c r="C12" s="547" t="s">
        <v>76</v>
      </c>
      <c r="D12" s="558">
        <v>1101</v>
      </c>
      <c r="E12" s="559" t="s">
        <v>47</v>
      </c>
      <c r="F12" s="540" t="s">
        <v>356</v>
      </c>
      <c r="G12" s="540">
        <v>219</v>
      </c>
      <c r="H12" s="554">
        <f>VLOOKUP(E12:$E$53,tabella,2)</f>
        <v>0.86970000000000003</v>
      </c>
      <c r="I12" s="553">
        <v>3</v>
      </c>
      <c r="J12" s="553"/>
      <c r="K12" s="553">
        <f t="shared" ref="K12:K51" si="8">ROUND(G12-J12,0)</f>
        <v>219</v>
      </c>
      <c r="L12" s="555">
        <f t="shared" si="1"/>
        <v>0.84231</v>
      </c>
      <c r="M12" s="554">
        <v>0.5</v>
      </c>
      <c r="N12" s="555">
        <f>ROUND(76/80,5)</f>
        <v>0.95</v>
      </c>
      <c r="O12" s="556">
        <f t="shared" si="7"/>
        <v>0.347964578325</v>
      </c>
      <c r="P12" s="545">
        <f t="shared" si="3"/>
        <v>187.56</v>
      </c>
      <c r="Q12" s="545"/>
      <c r="R12" s="545">
        <f t="shared" si="4"/>
        <v>0</v>
      </c>
      <c r="S12" s="536">
        <f t="shared" si="5"/>
        <v>187.56</v>
      </c>
    </row>
    <row r="13" spans="1:20" ht="18.75" x14ac:dyDescent="0.2">
      <c r="A13" s="559">
        <v>9</v>
      </c>
      <c r="B13" s="547" t="s">
        <v>69</v>
      </c>
      <c r="C13" s="547" t="s">
        <v>70</v>
      </c>
      <c r="D13" s="558">
        <v>1101</v>
      </c>
      <c r="E13" s="559" t="s">
        <v>44</v>
      </c>
      <c r="F13" s="614" t="s">
        <v>357</v>
      </c>
      <c r="G13" s="630">
        <f>(365-31)/365*260</f>
        <v>237.91780821917808</v>
      </c>
      <c r="H13" s="554">
        <f>VLOOKUP(E13:$E$53,tabella,2)</f>
        <v>0.79930000000000001</v>
      </c>
      <c r="I13" s="553">
        <v>6</v>
      </c>
      <c r="J13" s="682">
        <v>37</v>
      </c>
      <c r="K13" s="553">
        <f t="shared" si="8"/>
        <v>201</v>
      </c>
      <c r="L13" s="555">
        <f t="shared" si="1"/>
        <v>0.77307999999999999</v>
      </c>
      <c r="M13" s="554">
        <f>(0.7222)/2</f>
        <v>0.36109999999999998</v>
      </c>
      <c r="N13" s="555">
        <f>ROUND(65/65,5)</f>
        <v>1</v>
      </c>
      <c r="O13" s="556">
        <f t="shared" ref="O13:O21" si="9">IF(G13&lt;100,0,(N13*L13)*H13*M13)</f>
        <v>0.22313193896839997</v>
      </c>
      <c r="P13" s="545">
        <f t="shared" si="3"/>
        <v>120.28</v>
      </c>
      <c r="Q13" s="616">
        <v>6</v>
      </c>
      <c r="R13" s="545">
        <f t="shared" si="4"/>
        <v>3.03</v>
      </c>
      <c r="S13" s="536">
        <f t="shared" si="5"/>
        <v>117.25</v>
      </c>
    </row>
    <row r="14" spans="1:20" ht="18.75" x14ac:dyDescent="0.2">
      <c r="A14" s="559"/>
      <c r="B14" s="547" t="s">
        <v>69</v>
      </c>
      <c r="C14" s="547" t="s">
        <v>70</v>
      </c>
      <c r="D14" s="558">
        <v>1102</v>
      </c>
      <c r="E14" s="559" t="s">
        <v>44</v>
      </c>
      <c r="F14" s="614" t="s">
        <v>357</v>
      </c>
      <c r="G14" s="540">
        <v>238</v>
      </c>
      <c r="H14" s="554">
        <f>VLOOKUP(E14:$E$53,tabella,2)</f>
        <v>0.79930000000000001</v>
      </c>
      <c r="I14" s="553">
        <v>6</v>
      </c>
      <c r="J14" s="553">
        <v>37</v>
      </c>
      <c r="K14" s="553">
        <f t="shared" si="8"/>
        <v>201</v>
      </c>
      <c r="L14" s="555">
        <f t="shared" si="1"/>
        <v>0.77307999999999999</v>
      </c>
      <c r="M14" s="554">
        <f>(0.7222)/2</f>
        <v>0.36109999999999998</v>
      </c>
      <c r="N14" s="555">
        <f>ROUND(65/65,5)</f>
        <v>1</v>
      </c>
      <c r="O14" s="556">
        <f t="shared" si="9"/>
        <v>0.22313193896839997</v>
      </c>
      <c r="P14" s="545">
        <f t="shared" si="3"/>
        <v>120.28</v>
      </c>
      <c r="Q14" s="616">
        <v>6</v>
      </c>
      <c r="R14" s="545">
        <f t="shared" si="4"/>
        <v>3.03</v>
      </c>
      <c r="S14" s="536">
        <f t="shared" si="5"/>
        <v>117.25</v>
      </c>
    </row>
    <row r="15" spans="1:20" s="524" customFormat="1" x14ac:dyDescent="0.2">
      <c r="A15" s="559">
        <v>10</v>
      </c>
      <c r="B15" s="547" t="s">
        <v>55</v>
      </c>
      <c r="C15" s="547" t="s">
        <v>56</v>
      </c>
      <c r="D15" s="558">
        <v>1101</v>
      </c>
      <c r="E15" s="559" t="s">
        <v>44</v>
      </c>
      <c r="F15" s="550" t="s">
        <v>334</v>
      </c>
      <c r="G15" s="540">
        <v>260</v>
      </c>
      <c r="H15" s="554">
        <f>VLOOKUP(E15:$E$53,tabella,2)</f>
        <v>0.79930000000000001</v>
      </c>
      <c r="I15" s="553">
        <v>3</v>
      </c>
      <c r="J15" s="553">
        <v>3</v>
      </c>
      <c r="K15" s="553">
        <f t="shared" si="8"/>
        <v>257</v>
      </c>
      <c r="L15" s="555">
        <f t="shared" si="1"/>
        <v>0.98846000000000001</v>
      </c>
      <c r="M15" s="554">
        <v>0.72219999999999995</v>
      </c>
      <c r="N15" s="555">
        <f>ROUND(65/65,5)</f>
        <v>1</v>
      </c>
      <c r="O15" s="556">
        <f t="shared" si="9"/>
        <v>0.57059294353159995</v>
      </c>
      <c r="P15" s="545">
        <f t="shared" si="3"/>
        <v>307.57</v>
      </c>
      <c r="Q15" s="545">
        <v>3</v>
      </c>
      <c r="R15" s="545">
        <f t="shared" ref="R15:R50" si="10">ROUND(P15/G15*Q15,2)</f>
        <v>3.55</v>
      </c>
      <c r="S15" s="536">
        <f t="shared" si="5"/>
        <v>304.02</v>
      </c>
    </row>
    <row r="16" spans="1:20" s="524" customFormat="1" x14ac:dyDescent="0.2">
      <c r="A16" s="559">
        <v>11</v>
      </c>
      <c r="B16" s="547" t="s">
        <v>77</v>
      </c>
      <c r="C16" s="547" t="s">
        <v>78</v>
      </c>
      <c r="D16" s="558">
        <v>1101</v>
      </c>
      <c r="E16" s="553" t="s">
        <v>44</v>
      </c>
      <c r="F16" s="540"/>
      <c r="G16" s="540">
        <v>260</v>
      </c>
      <c r="H16" s="554">
        <f>VLOOKUP(E16:$E$53,tabella,2)</f>
        <v>0.79930000000000001</v>
      </c>
      <c r="I16" s="553"/>
      <c r="J16" s="553"/>
      <c r="K16" s="553">
        <f t="shared" si="8"/>
        <v>260</v>
      </c>
      <c r="L16" s="555">
        <f t="shared" si="1"/>
        <v>1</v>
      </c>
      <c r="M16" s="554">
        <v>1</v>
      </c>
      <c r="N16" s="555">
        <f>ROUND(64/65,5)</f>
        <v>0.98462000000000005</v>
      </c>
      <c r="O16" s="556">
        <f t="shared" si="9"/>
        <v>0.78700676600000008</v>
      </c>
      <c r="P16" s="545">
        <f t="shared" si="3"/>
        <v>424.22</v>
      </c>
      <c r="Q16" s="545"/>
      <c r="R16" s="545">
        <f t="shared" si="10"/>
        <v>0</v>
      </c>
      <c r="S16" s="536">
        <f t="shared" si="5"/>
        <v>424.22</v>
      </c>
    </row>
    <row r="17" spans="1:19" s="524" customFormat="1" x14ac:dyDescent="0.2">
      <c r="A17" s="559">
        <v>12</v>
      </c>
      <c r="B17" s="547" t="s">
        <v>60</v>
      </c>
      <c r="C17" s="547" t="s">
        <v>61</v>
      </c>
      <c r="D17" s="558">
        <v>1101</v>
      </c>
      <c r="E17" s="559" t="s">
        <v>44</v>
      </c>
      <c r="F17" s="540"/>
      <c r="G17" s="540">
        <v>260</v>
      </c>
      <c r="H17" s="554">
        <f>VLOOKUP(E17:$E$53,tabella,2)</f>
        <v>0.79930000000000001</v>
      </c>
      <c r="I17" s="553">
        <v>2</v>
      </c>
      <c r="J17" s="553">
        <v>2</v>
      </c>
      <c r="K17" s="553">
        <f t="shared" si="8"/>
        <v>258</v>
      </c>
      <c r="L17" s="555">
        <f t="shared" si="1"/>
        <v>0.99231000000000003</v>
      </c>
      <c r="M17" s="554">
        <v>1</v>
      </c>
      <c r="N17" s="555">
        <f>ROUND(65/65,5)</f>
        <v>1</v>
      </c>
      <c r="O17" s="556">
        <f t="shared" si="9"/>
        <v>0.79315338300000005</v>
      </c>
      <c r="P17" s="545">
        <f t="shared" si="3"/>
        <v>427.54</v>
      </c>
      <c r="Q17" s="545">
        <v>2</v>
      </c>
      <c r="R17" s="545">
        <f t="shared" si="10"/>
        <v>3.29</v>
      </c>
      <c r="S17" s="536">
        <f t="shared" si="5"/>
        <v>424.25</v>
      </c>
    </row>
    <row r="18" spans="1:19" x14ac:dyDescent="0.2">
      <c r="A18" s="559">
        <v>13</v>
      </c>
      <c r="B18" s="547" t="s">
        <v>200</v>
      </c>
      <c r="C18" s="547" t="s">
        <v>308</v>
      </c>
      <c r="D18" s="558">
        <v>1101</v>
      </c>
      <c r="E18" s="559" t="s">
        <v>44</v>
      </c>
      <c r="F18" s="550"/>
      <c r="G18" s="540">
        <v>260</v>
      </c>
      <c r="H18" s="554">
        <f>VLOOKUP(E18:$E$53,tabella,2)</f>
        <v>0.79930000000000001</v>
      </c>
      <c r="I18" s="553"/>
      <c r="J18" s="553"/>
      <c r="K18" s="553">
        <f t="shared" si="8"/>
        <v>260</v>
      </c>
      <c r="L18" s="555">
        <f t="shared" si="1"/>
        <v>1</v>
      </c>
      <c r="M18" s="554">
        <v>1</v>
      </c>
      <c r="N18" s="555">
        <f>ROUND(63/65,5)</f>
        <v>0.96923000000000004</v>
      </c>
      <c r="O18" s="556">
        <f t="shared" si="9"/>
        <v>0.77470553900000005</v>
      </c>
      <c r="P18" s="545">
        <f t="shared" si="3"/>
        <v>417.59</v>
      </c>
      <c r="Q18" s="545"/>
      <c r="R18" s="545">
        <f t="shared" si="10"/>
        <v>0</v>
      </c>
      <c r="S18" s="536">
        <f t="shared" si="5"/>
        <v>417.59</v>
      </c>
    </row>
    <row r="19" spans="1:19" x14ac:dyDescent="0.2">
      <c r="A19" s="559">
        <v>14</v>
      </c>
      <c r="B19" s="547" t="s">
        <v>81</v>
      </c>
      <c r="C19" s="547" t="s">
        <v>80</v>
      </c>
      <c r="D19" s="558">
        <v>1101</v>
      </c>
      <c r="E19" s="559" t="s">
        <v>44</v>
      </c>
      <c r="F19" s="550"/>
      <c r="G19" s="540">
        <v>260</v>
      </c>
      <c r="H19" s="554">
        <f>VLOOKUP(E19:$E$53,tabella,2)</f>
        <v>0.79930000000000001</v>
      </c>
      <c r="I19" s="553">
        <v>2</v>
      </c>
      <c r="J19" s="553">
        <v>2</v>
      </c>
      <c r="K19" s="553">
        <f t="shared" si="8"/>
        <v>258</v>
      </c>
      <c r="L19" s="555">
        <f t="shared" si="1"/>
        <v>0.99231000000000003</v>
      </c>
      <c r="M19" s="554">
        <v>1</v>
      </c>
      <c r="N19" s="555">
        <f>ROUND(65/65,5)</f>
        <v>1</v>
      </c>
      <c r="O19" s="556">
        <f t="shared" si="9"/>
        <v>0.79315338300000005</v>
      </c>
      <c r="P19" s="545">
        <f t="shared" si="3"/>
        <v>427.54</v>
      </c>
      <c r="Q19" s="545">
        <v>2</v>
      </c>
      <c r="R19" s="545">
        <f t="shared" si="10"/>
        <v>3.29</v>
      </c>
      <c r="S19" s="536">
        <f t="shared" si="5"/>
        <v>424.25</v>
      </c>
    </row>
    <row r="20" spans="1:19" x14ac:dyDescent="0.2">
      <c r="A20" s="559">
        <v>15</v>
      </c>
      <c r="B20" s="547" t="s">
        <v>79</v>
      </c>
      <c r="C20" s="547" t="s">
        <v>80</v>
      </c>
      <c r="D20" s="558">
        <v>1101</v>
      </c>
      <c r="E20" s="559" t="s">
        <v>44</v>
      </c>
      <c r="F20" s="607"/>
      <c r="G20" s="540">
        <v>260</v>
      </c>
      <c r="H20" s="554">
        <f>VLOOKUP(E20:$E$53,tabella,2)</f>
        <v>0.79930000000000001</v>
      </c>
      <c r="I20" s="553">
        <v>20</v>
      </c>
      <c r="J20" s="553">
        <v>20</v>
      </c>
      <c r="K20" s="553">
        <f t="shared" si="8"/>
        <v>240</v>
      </c>
      <c r="L20" s="555">
        <f t="shared" si="1"/>
        <v>0.92308000000000001</v>
      </c>
      <c r="M20" s="554">
        <v>1</v>
      </c>
      <c r="N20" s="555">
        <f>ROUND(65/65,5)</f>
        <v>1</v>
      </c>
      <c r="O20" s="556">
        <f t="shared" si="9"/>
        <v>0.73781784400000006</v>
      </c>
      <c r="P20" s="545">
        <f t="shared" si="3"/>
        <v>397.71</v>
      </c>
      <c r="Q20" s="545">
        <v>6</v>
      </c>
      <c r="R20" s="545">
        <f t="shared" si="10"/>
        <v>9.18</v>
      </c>
      <c r="S20" s="536">
        <f t="shared" si="5"/>
        <v>388.53</v>
      </c>
    </row>
    <row r="21" spans="1:19" x14ac:dyDescent="0.2">
      <c r="A21" s="559">
        <v>16</v>
      </c>
      <c r="B21" s="547" t="s">
        <v>156</v>
      </c>
      <c r="C21" s="547" t="s">
        <v>138</v>
      </c>
      <c r="D21" s="558">
        <v>1101</v>
      </c>
      <c r="E21" s="559" t="s">
        <v>44</v>
      </c>
      <c r="F21" s="540"/>
      <c r="G21" s="540">
        <v>260</v>
      </c>
      <c r="H21" s="554">
        <f>VLOOKUP(E21:$E$53,tabella,2)</f>
        <v>0.79930000000000001</v>
      </c>
      <c r="I21" s="553">
        <v>2</v>
      </c>
      <c r="J21" s="553">
        <v>3</v>
      </c>
      <c r="K21" s="553">
        <f t="shared" si="8"/>
        <v>257</v>
      </c>
      <c r="L21" s="555">
        <f t="shared" si="1"/>
        <v>0.98846000000000001</v>
      </c>
      <c r="M21" s="554">
        <v>1</v>
      </c>
      <c r="N21" s="555">
        <f>ROUND(65/65,5)</f>
        <v>1</v>
      </c>
      <c r="O21" s="556">
        <f t="shared" si="9"/>
        <v>0.79007607800000001</v>
      </c>
      <c r="P21" s="545">
        <f t="shared" si="3"/>
        <v>425.88</v>
      </c>
      <c r="Q21" s="545">
        <v>2</v>
      </c>
      <c r="R21" s="545">
        <f t="shared" si="10"/>
        <v>3.28</v>
      </c>
      <c r="S21" s="536">
        <f t="shared" si="5"/>
        <v>422.6</v>
      </c>
    </row>
    <row r="22" spans="1:19" x14ac:dyDescent="0.2">
      <c r="A22" s="559">
        <v>17</v>
      </c>
      <c r="B22" s="547" t="s">
        <v>162</v>
      </c>
      <c r="C22" s="547" t="s">
        <v>163</v>
      </c>
      <c r="D22" s="558">
        <v>1101</v>
      </c>
      <c r="E22" s="559" t="s">
        <v>44</v>
      </c>
      <c r="F22" s="540"/>
      <c r="G22" s="540">
        <v>260</v>
      </c>
      <c r="H22" s="554">
        <f>VLOOKUP(E22:$E$53,tabella,2)</f>
        <v>0.79930000000000001</v>
      </c>
      <c r="I22" s="553">
        <v>39</v>
      </c>
      <c r="J22" s="553">
        <v>39</v>
      </c>
      <c r="K22" s="553">
        <f t="shared" si="8"/>
        <v>221</v>
      </c>
      <c r="L22" s="555">
        <f t="shared" si="1"/>
        <v>0.85</v>
      </c>
      <c r="M22" s="554">
        <v>1</v>
      </c>
      <c r="N22" s="555">
        <f>ROUND(57/65,5)</f>
        <v>0.87692000000000003</v>
      </c>
      <c r="O22" s="556">
        <f>IF(G22&lt;100,0,(N22*L22)*H22*M22)</f>
        <v>0.59578383260000001</v>
      </c>
      <c r="P22" s="545">
        <f t="shared" si="3"/>
        <v>321.14999999999998</v>
      </c>
      <c r="Q22" s="545">
        <v>7</v>
      </c>
      <c r="R22" s="545">
        <f t="shared" si="10"/>
        <v>8.65</v>
      </c>
      <c r="S22" s="536">
        <f t="shared" si="5"/>
        <v>312.5</v>
      </c>
    </row>
    <row r="23" spans="1:19" x14ac:dyDescent="0.2">
      <c r="A23" s="559">
        <v>18</v>
      </c>
      <c r="B23" s="547" t="s">
        <v>294</v>
      </c>
      <c r="C23" s="547" t="s">
        <v>295</v>
      </c>
      <c r="D23" s="558">
        <v>1101</v>
      </c>
      <c r="E23" s="559" t="s">
        <v>44</v>
      </c>
      <c r="F23" s="540" t="s">
        <v>297</v>
      </c>
      <c r="G23" s="540">
        <v>260</v>
      </c>
      <c r="H23" s="554">
        <f>VLOOKUP(E23:$E$53,tabella,2)</f>
        <v>0.79930000000000001</v>
      </c>
      <c r="I23" s="553"/>
      <c r="J23" s="553"/>
      <c r="K23" s="553">
        <f t="shared" si="8"/>
        <v>260</v>
      </c>
      <c r="L23" s="555">
        <f t="shared" si="1"/>
        <v>1</v>
      </c>
      <c r="M23" s="554">
        <v>0.5</v>
      </c>
      <c r="N23" s="555">
        <f>ROUND(59/65,5)</f>
        <v>0.90769</v>
      </c>
      <c r="O23" s="556">
        <f>IF(G23&lt;80,0,(N23*L23)*H23*M23)</f>
        <v>0.36275830850000002</v>
      </c>
      <c r="P23" s="545">
        <f t="shared" si="3"/>
        <v>195.54</v>
      </c>
      <c r="Q23" s="545"/>
      <c r="R23" s="545">
        <f t="shared" si="10"/>
        <v>0</v>
      </c>
      <c r="S23" s="536">
        <f t="shared" si="5"/>
        <v>195.54</v>
      </c>
    </row>
    <row r="24" spans="1:19" x14ac:dyDescent="0.2">
      <c r="A24" s="559">
        <v>19</v>
      </c>
      <c r="B24" s="547" t="s">
        <v>247</v>
      </c>
      <c r="C24" s="547" t="s">
        <v>218</v>
      </c>
      <c r="D24" s="558">
        <v>1101</v>
      </c>
      <c r="E24" s="559" t="s">
        <v>44</v>
      </c>
      <c r="F24" s="540"/>
      <c r="G24" s="540">
        <v>260</v>
      </c>
      <c r="H24" s="554">
        <f>VLOOKUP(E24:$E$53,tabella,2)</f>
        <v>0.79930000000000001</v>
      </c>
      <c r="I24" s="553">
        <v>19</v>
      </c>
      <c r="J24" s="553">
        <v>19</v>
      </c>
      <c r="K24" s="553">
        <f t="shared" si="8"/>
        <v>241</v>
      </c>
      <c r="L24" s="555">
        <f t="shared" si="1"/>
        <v>0.92691999999999997</v>
      </c>
      <c r="M24" s="554">
        <v>1</v>
      </c>
      <c r="N24" s="555">
        <f>ROUND(59/65,5)</f>
        <v>0.90769</v>
      </c>
      <c r="O24" s="556">
        <f>IF(G24&lt;100,0,(N24*L24)*H24*M24)</f>
        <v>0.67249586262964001</v>
      </c>
      <c r="P24" s="545">
        <f t="shared" si="3"/>
        <v>362.5</v>
      </c>
      <c r="Q24" s="545">
        <v>12</v>
      </c>
      <c r="R24" s="545">
        <f t="shared" si="10"/>
        <v>16.73</v>
      </c>
      <c r="S24" s="545">
        <f t="shared" si="5"/>
        <v>345.77</v>
      </c>
    </row>
    <row r="25" spans="1:19" x14ac:dyDescent="0.2">
      <c r="A25" s="559">
        <v>20</v>
      </c>
      <c r="B25" s="547" t="s">
        <v>217</v>
      </c>
      <c r="C25" s="547" t="s">
        <v>218</v>
      </c>
      <c r="D25" s="558">
        <v>1101</v>
      </c>
      <c r="E25" s="559" t="s">
        <v>44</v>
      </c>
      <c r="F25" s="540" t="s">
        <v>297</v>
      </c>
      <c r="G25" s="540">
        <v>260</v>
      </c>
      <c r="H25" s="554">
        <f>VLOOKUP(E25:$E$53,tabella,2)</f>
        <v>0.79930000000000001</v>
      </c>
      <c r="I25" s="553"/>
      <c r="J25" s="553"/>
      <c r="K25" s="553">
        <f t="shared" si="8"/>
        <v>260</v>
      </c>
      <c r="L25" s="555">
        <f t="shared" si="1"/>
        <v>1</v>
      </c>
      <c r="M25" s="554">
        <v>0.5</v>
      </c>
      <c r="N25" s="555">
        <f>ROUND(63/65,5)</f>
        <v>0.96923000000000004</v>
      </c>
      <c r="O25" s="556">
        <f>IF(G25&lt;80,0,(N25*L25)*H25*M25)</f>
        <v>0.38735276950000003</v>
      </c>
      <c r="P25" s="545">
        <f t="shared" si="3"/>
        <v>208.8</v>
      </c>
      <c r="Q25" s="545"/>
      <c r="R25" s="545">
        <f t="shared" si="10"/>
        <v>0</v>
      </c>
      <c r="S25" s="536">
        <f t="shared" si="5"/>
        <v>208.8</v>
      </c>
    </row>
    <row r="26" spans="1:19" s="524" customFormat="1" x14ac:dyDescent="0.2">
      <c r="A26" s="559">
        <v>21</v>
      </c>
      <c r="B26" s="547" t="s">
        <v>340</v>
      </c>
      <c r="C26" s="547" t="s">
        <v>341</v>
      </c>
      <c r="D26" s="558">
        <v>1101</v>
      </c>
      <c r="E26" s="559" t="s">
        <v>44</v>
      </c>
      <c r="F26" s="540"/>
      <c r="G26" s="540">
        <v>260</v>
      </c>
      <c r="H26" s="554">
        <f>VLOOKUP(E26:$E$53,tabella,2)</f>
        <v>0.79930000000000001</v>
      </c>
      <c r="I26" s="553">
        <v>5</v>
      </c>
      <c r="J26" s="553">
        <v>5</v>
      </c>
      <c r="K26" s="553">
        <f t="shared" si="8"/>
        <v>255</v>
      </c>
      <c r="L26" s="555">
        <f t="shared" si="1"/>
        <v>0.98077000000000003</v>
      </c>
      <c r="M26" s="554">
        <v>1</v>
      </c>
      <c r="N26" s="555">
        <f>ROUND(63/65,5)</f>
        <v>0.96923000000000004</v>
      </c>
      <c r="O26" s="556">
        <f t="shared" ref="O26:O31" si="11">IF(G26&lt;100,0,(N26*L26)*H26*M26)</f>
        <v>0.75980795148503011</v>
      </c>
      <c r="P26" s="545">
        <f t="shared" si="3"/>
        <v>409.56</v>
      </c>
      <c r="Q26" s="545">
        <v>5</v>
      </c>
      <c r="R26" s="545">
        <f t="shared" si="10"/>
        <v>7.88</v>
      </c>
      <c r="S26" s="536">
        <f t="shared" si="5"/>
        <v>401.68</v>
      </c>
    </row>
    <row r="27" spans="1:19" x14ac:dyDescent="0.2">
      <c r="A27" s="559">
        <v>22</v>
      </c>
      <c r="B27" s="547" t="s">
        <v>335</v>
      </c>
      <c r="C27" s="547" t="s">
        <v>338</v>
      </c>
      <c r="D27" s="558">
        <v>1101</v>
      </c>
      <c r="E27" s="559" t="s">
        <v>44</v>
      </c>
      <c r="F27" s="540"/>
      <c r="G27" s="540">
        <v>260</v>
      </c>
      <c r="H27" s="554">
        <f>VLOOKUP(E27:$E$53,tabella,2)</f>
        <v>0.79930000000000001</v>
      </c>
      <c r="I27" s="553"/>
      <c r="J27" s="553"/>
      <c r="K27" s="553">
        <f t="shared" si="8"/>
        <v>260</v>
      </c>
      <c r="L27" s="555">
        <f>ROUND(K27/260,5)</f>
        <v>1</v>
      </c>
      <c r="M27" s="554">
        <v>1</v>
      </c>
      <c r="N27" s="555">
        <f>ROUND(53/65,5)</f>
        <v>0.81537999999999999</v>
      </c>
      <c r="O27" s="556">
        <f t="shared" si="11"/>
        <v>0.65173323400000005</v>
      </c>
      <c r="P27" s="545">
        <f t="shared" si="3"/>
        <v>351.31</v>
      </c>
      <c r="Q27" s="545"/>
      <c r="R27" s="545">
        <f>ROUND(P27/G27*Q27,2)</f>
        <v>0</v>
      </c>
      <c r="S27" s="536">
        <f>P27-R27</f>
        <v>351.31</v>
      </c>
    </row>
    <row r="28" spans="1:19" s="615" customFormat="1" x14ac:dyDescent="0.2">
      <c r="A28" s="559">
        <v>23</v>
      </c>
      <c r="B28" s="547" t="s">
        <v>336</v>
      </c>
      <c r="C28" s="547" t="s">
        <v>339</v>
      </c>
      <c r="D28" s="615">
        <v>1101</v>
      </c>
      <c r="E28" s="559" t="s">
        <v>44</v>
      </c>
      <c r="F28" s="540" t="s">
        <v>362</v>
      </c>
      <c r="G28" s="630">
        <f>(31+28+31+30+31+30+31+31+30+15)/365*260</f>
        <v>205.15068493150685</v>
      </c>
      <c r="H28" s="554">
        <f>VLOOKUP(E28:$E$53,tabella,2)</f>
        <v>0.79930000000000001</v>
      </c>
      <c r="I28" s="553"/>
      <c r="J28" s="553"/>
      <c r="K28" s="553">
        <f t="shared" si="8"/>
        <v>205</v>
      </c>
      <c r="L28" s="555">
        <f>ROUND(K28/260,5)</f>
        <v>0.78846000000000005</v>
      </c>
      <c r="M28" s="554">
        <v>1</v>
      </c>
      <c r="N28" s="555">
        <f>ROUND(54/65,5)</f>
        <v>0.83077000000000001</v>
      </c>
      <c r="O28" s="556">
        <f t="shared" si="11"/>
        <v>0.52356461112006003</v>
      </c>
      <c r="P28" s="616">
        <f t="shared" si="3"/>
        <v>282.22000000000003</v>
      </c>
      <c r="Q28" s="616"/>
      <c r="R28" s="616">
        <f>ROUND(P28/G28*Q28,2)</f>
        <v>0</v>
      </c>
      <c r="S28" s="536">
        <f>P28-R28</f>
        <v>282.22000000000003</v>
      </c>
    </row>
    <row r="29" spans="1:19" x14ac:dyDescent="0.2">
      <c r="A29" s="559">
        <v>24</v>
      </c>
      <c r="B29" s="547" t="s">
        <v>337</v>
      </c>
      <c r="C29" s="547" t="s">
        <v>304</v>
      </c>
      <c r="D29" s="558">
        <v>1101</v>
      </c>
      <c r="E29" s="559" t="s">
        <v>44</v>
      </c>
      <c r="F29" s="562"/>
      <c r="G29" s="540">
        <v>260</v>
      </c>
      <c r="H29" s="554">
        <f>VLOOKUP(E29:$E$53,tabella,2)</f>
        <v>0.79930000000000001</v>
      </c>
      <c r="I29" s="553">
        <v>1</v>
      </c>
      <c r="J29" s="553">
        <v>1</v>
      </c>
      <c r="K29" s="553">
        <f t="shared" si="8"/>
        <v>259</v>
      </c>
      <c r="L29" s="555">
        <f>ROUND(K29/260,5)</f>
        <v>0.99614999999999998</v>
      </c>
      <c r="M29" s="554">
        <v>1</v>
      </c>
      <c r="N29" s="555">
        <f>ROUND(63/65,5)</f>
        <v>0.96923000000000004</v>
      </c>
      <c r="O29" s="556">
        <f t="shared" si="11"/>
        <v>0.77172292267484999</v>
      </c>
      <c r="P29" s="545">
        <f t="shared" si="3"/>
        <v>415.98</v>
      </c>
      <c r="Q29" s="545">
        <v>1</v>
      </c>
      <c r="R29" s="545">
        <f>ROUND(P29/G29*Q29,2)</f>
        <v>1.6</v>
      </c>
      <c r="S29" s="536">
        <f>P29-R29</f>
        <v>414.38</v>
      </c>
    </row>
    <row r="30" spans="1:19" x14ac:dyDescent="0.2">
      <c r="A30" s="559">
        <v>25</v>
      </c>
      <c r="B30" s="547" t="s">
        <v>365</v>
      </c>
      <c r="C30" s="547" t="s">
        <v>366</v>
      </c>
      <c r="D30" s="558">
        <v>1102</v>
      </c>
      <c r="E30" s="559" t="s">
        <v>44</v>
      </c>
      <c r="F30" s="562" t="s">
        <v>367</v>
      </c>
      <c r="G30" s="630">
        <f>(28+31+31+30+31+30+31)/365*260</f>
        <v>151.01369863013699</v>
      </c>
      <c r="H30" s="554">
        <f>VLOOKUP(E30:$E$53,tabella,2)</f>
        <v>0.79930000000000001</v>
      </c>
      <c r="I30" s="553"/>
      <c r="J30" s="553"/>
      <c r="K30" s="553">
        <f t="shared" si="8"/>
        <v>151</v>
      </c>
      <c r="L30" s="555">
        <f>ROUND(K30/260,5)</f>
        <v>0.58077000000000001</v>
      </c>
      <c r="M30" s="554">
        <v>1</v>
      </c>
      <c r="N30" s="555">
        <f>ROUND(52/65,5)</f>
        <v>0.8</v>
      </c>
      <c r="O30" s="556">
        <f t="shared" si="11"/>
        <v>0.37136756880000005</v>
      </c>
      <c r="P30" s="545">
        <f t="shared" si="3"/>
        <v>200.18</v>
      </c>
      <c r="Q30" s="545"/>
      <c r="R30" s="545">
        <f>ROUND(P30/G30*Q30,2)</f>
        <v>0</v>
      </c>
      <c r="S30" s="536">
        <f>P30-R30</f>
        <v>200.18</v>
      </c>
    </row>
    <row r="31" spans="1:19" s="537" customFormat="1" x14ac:dyDescent="0.2">
      <c r="A31" s="560">
        <v>26</v>
      </c>
      <c r="B31" s="617" t="s">
        <v>368</v>
      </c>
      <c r="C31" s="617" t="s">
        <v>369</v>
      </c>
      <c r="D31" s="537">
        <v>1101</v>
      </c>
      <c r="E31" s="560" t="s">
        <v>44</v>
      </c>
      <c r="F31" s="618" t="s">
        <v>370</v>
      </c>
      <c r="G31" s="631">
        <f>(13+31)/365*260</f>
        <v>31.342465753424658</v>
      </c>
      <c r="H31" s="620">
        <f>VLOOKUP(E31:$E$53,tabella,2)</f>
        <v>0.79930000000000001</v>
      </c>
      <c r="I31" s="551"/>
      <c r="J31" s="551"/>
      <c r="K31" s="553">
        <f t="shared" si="8"/>
        <v>31</v>
      </c>
      <c r="L31" s="621">
        <f>ROUND(K31/260,5)</f>
        <v>0.11923</v>
      </c>
      <c r="M31" s="620">
        <v>1</v>
      </c>
      <c r="N31" s="621">
        <f>ROUND(52/65,5)</f>
        <v>0.8</v>
      </c>
      <c r="O31" s="622">
        <f t="shared" si="11"/>
        <v>0</v>
      </c>
      <c r="P31" s="552">
        <f t="shared" si="3"/>
        <v>0</v>
      </c>
      <c r="Q31" s="552"/>
      <c r="R31" s="552">
        <f>ROUND(P31/G31*Q31,2)</f>
        <v>0</v>
      </c>
      <c r="S31" s="623">
        <f>P31-R31</f>
        <v>0</v>
      </c>
    </row>
    <row r="32" spans="1:19" s="537" customFormat="1" x14ac:dyDescent="0.2">
      <c r="A32" s="560">
        <v>27</v>
      </c>
      <c r="B32" s="617" t="s">
        <v>371</v>
      </c>
      <c r="C32" s="617" t="s">
        <v>372</v>
      </c>
      <c r="D32" s="537">
        <v>1101</v>
      </c>
      <c r="E32" s="560" t="s">
        <v>44</v>
      </c>
      <c r="F32" s="618" t="s">
        <v>376</v>
      </c>
      <c r="G32" s="631">
        <f>15/365*260</f>
        <v>10.684931506849315</v>
      </c>
      <c r="H32" s="620">
        <f>VLOOKUP(E32:$E$53,tabella,2)</f>
        <v>0.79930000000000001</v>
      </c>
      <c r="I32" s="551"/>
      <c r="J32" s="551"/>
      <c r="K32" s="553">
        <f t="shared" si="8"/>
        <v>11</v>
      </c>
      <c r="L32" s="621">
        <f t="shared" ref="L32:L34" si="12">ROUND(K32/260,5)</f>
        <v>4.231E-2</v>
      </c>
      <c r="M32" s="620">
        <v>1</v>
      </c>
      <c r="N32" s="621">
        <f t="shared" ref="N32:N34" si="13">ROUND(52/65,5)</f>
        <v>0.8</v>
      </c>
      <c r="O32" s="622">
        <f t="shared" ref="O32:O34" si="14">IF(G32&lt;100,0,(N32*L32)*H32*M32)</f>
        <v>0</v>
      </c>
      <c r="P32" s="552">
        <f t="shared" ref="P32:P34" si="15">ROUND(O32*$C$57,2)</f>
        <v>0</v>
      </c>
      <c r="Q32" s="552"/>
      <c r="R32" s="552">
        <f t="shared" ref="R32:R34" si="16">ROUND(P32/G32*Q32,2)</f>
        <v>0</v>
      </c>
      <c r="S32" s="623">
        <f t="shared" ref="S32:S34" si="17">P32-R32</f>
        <v>0</v>
      </c>
    </row>
    <row r="33" spans="1:19" s="537" customFormat="1" x14ac:dyDescent="0.2">
      <c r="A33" s="560">
        <v>28</v>
      </c>
      <c r="B33" s="617" t="s">
        <v>373</v>
      </c>
      <c r="C33" s="617" t="s">
        <v>93</v>
      </c>
      <c r="D33" s="537">
        <v>1101</v>
      </c>
      <c r="E33" s="560" t="s">
        <v>44</v>
      </c>
      <c r="F33" s="618" t="s">
        <v>376</v>
      </c>
      <c r="G33" s="619">
        <v>11</v>
      </c>
      <c r="H33" s="620">
        <f>VLOOKUP(E33:$E$53,tabella,2)</f>
        <v>0.79930000000000001</v>
      </c>
      <c r="I33" s="551"/>
      <c r="J33" s="551"/>
      <c r="K33" s="553">
        <f t="shared" si="8"/>
        <v>11</v>
      </c>
      <c r="L33" s="621">
        <f t="shared" si="12"/>
        <v>4.231E-2</v>
      </c>
      <c r="M33" s="620">
        <v>1</v>
      </c>
      <c r="N33" s="621">
        <f t="shared" si="13"/>
        <v>0.8</v>
      </c>
      <c r="O33" s="622">
        <f t="shared" si="14"/>
        <v>0</v>
      </c>
      <c r="P33" s="552">
        <f t="shared" si="15"/>
        <v>0</v>
      </c>
      <c r="Q33" s="552"/>
      <c r="R33" s="552">
        <f t="shared" si="16"/>
        <v>0</v>
      </c>
      <c r="S33" s="623">
        <f t="shared" si="17"/>
        <v>0</v>
      </c>
    </row>
    <row r="34" spans="1:19" s="537" customFormat="1" x14ac:dyDescent="0.2">
      <c r="A34" s="560">
        <v>29</v>
      </c>
      <c r="B34" s="617" t="s">
        <v>374</v>
      </c>
      <c r="C34" s="617" t="s">
        <v>375</v>
      </c>
      <c r="D34" s="537">
        <v>1101</v>
      </c>
      <c r="E34" s="560" t="s">
        <v>44</v>
      </c>
      <c r="F34" s="618" t="s">
        <v>376</v>
      </c>
      <c r="G34" s="619">
        <v>11</v>
      </c>
      <c r="H34" s="620">
        <f>VLOOKUP(E34:$E$53,tabella,2)</f>
        <v>0.79930000000000001</v>
      </c>
      <c r="I34" s="551"/>
      <c r="J34" s="551"/>
      <c r="K34" s="553">
        <f t="shared" si="8"/>
        <v>11</v>
      </c>
      <c r="L34" s="621">
        <f t="shared" si="12"/>
        <v>4.231E-2</v>
      </c>
      <c r="M34" s="620">
        <v>1</v>
      </c>
      <c r="N34" s="621">
        <f t="shared" si="13"/>
        <v>0.8</v>
      </c>
      <c r="O34" s="622">
        <f t="shared" si="14"/>
        <v>0</v>
      </c>
      <c r="P34" s="552">
        <f t="shared" si="15"/>
        <v>0</v>
      </c>
      <c r="Q34" s="552"/>
      <c r="R34" s="552">
        <f t="shared" si="16"/>
        <v>0</v>
      </c>
      <c r="S34" s="623">
        <f t="shared" si="17"/>
        <v>0</v>
      </c>
    </row>
    <row r="35" spans="1:19" x14ac:dyDescent="0.2">
      <c r="A35" s="559">
        <v>30</v>
      </c>
      <c r="B35" s="547" t="s">
        <v>296</v>
      </c>
      <c r="C35" s="547" t="s">
        <v>137</v>
      </c>
      <c r="D35" s="558">
        <v>1102</v>
      </c>
      <c r="E35" s="559" t="s">
        <v>47</v>
      </c>
      <c r="F35" s="540"/>
      <c r="G35" s="540">
        <v>260</v>
      </c>
      <c r="H35" s="554">
        <f>VLOOKUP(E35:$E$53,tabella,2)</f>
        <v>0.86970000000000003</v>
      </c>
      <c r="I35" s="553">
        <v>4</v>
      </c>
      <c r="J35" s="553">
        <v>4</v>
      </c>
      <c r="K35" s="553">
        <f t="shared" si="8"/>
        <v>256</v>
      </c>
      <c r="L35" s="555">
        <f t="shared" si="1"/>
        <v>0.98462000000000005</v>
      </c>
      <c r="M35" s="554">
        <v>1</v>
      </c>
      <c r="N35" s="555">
        <f>ROUND(70/80,5)</f>
        <v>0.875</v>
      </c>
      <c r="O35" s="556">
        <f>IF(G35&lt;100,0,(N35*L35)*H35*M35)</f>
        <v>0.74928351225000012</v>
      </c>
      <c r="P35" s="545">
        <f t="shared" ref="P35:P51" si="18">ROUND(O35*$C$57,2)</f>
        <v>403.89</v>
      </c>
      <c r="Q35" s="616">
        <v>4</v>
      </c>
      <c r="R35" s="545">
        <f t="shared" si="10"/>
        <v>6.21</v>
      </c>
      <c r="S35" s="536">
        <f t="shared" si="5"/>
        <v>397.68</v>
      </c>
    </row>
    <row r="36" spans="1:19" x14ac:dyDescent="0.2">
      <c r="A36" s="559">
        <v>31</v>
      </c>
      <c r="B36" s="547" t="s">
        <v>86</v>
      </c>
      <c r="C36" s="547" t="s">
        <v>87</v>
      </c>
      <c r="D36" s="558">
        <v>1101</v>
      </c>
      <c r="E36" s="559" t="s">
        <v>47</v>
      </c>
      <c r="F36" s="561" t="s">
        <v>410</v>
      </c>
      <c r="G36" s="540">
        <f>ROUND(307/365*260,0)</f>
        <v>219</v>
      </c>
      <c r="H36" s="554">
        <f>VLOOKUP(E36:$E$53,tabella,2)</f>
        <v>0.86970000000000003</v>
      </c>
      <c r="I36" s="553">
        <v>4</v>
      </c>
      <c r="J36" s="553">
        <v>4</v>
      </c>
      <c r="K36" s="553">
        <f t="shared" si="8"/>
        <v>215</v>
      </c>
      <c r="L36" s="555">
        <f t="shared" ref="L36:L51" si="19">ROUND(K36/260,5)</f>
        <v>0.82691999999999999</v>
      </c>
      <c r="M36" s="554">
        <v>1</v>
      </c>
      <c r="N36" s="555">
        <f>ROUND(77/80,5)</f>
        <v>0.96250000000000002</v>
      </c>
      <c r="O36" s="556">
        <f>IF(G36&lt;100,0,(N36*L36)*H36*M36)</f>
        <v>0.69220336184999998</v>
      </c>
      <c r="P36" s="545">
        <f t="shared" si="18"/>
        <v>373.12</v>
      </c>
      <c r="Q36" s="545">
        <v>4</v>
      </c>
      <c r="R36" s="545">
        <f t="shared" si="10"/>
        <v>6.81</v>
      </c>
      <c r="S36" s="536">
        <f t="shared" si="5"/>
        <v>366.31</v>
      </c>
    </row>
    <row r="37" spans="1:19" s="558" customFormat="1" x14ac:dyDescent="0.2">
      <c r="A37" s="559">
        <v>32</v>
      </c>
      <c r="B37" s="547" t="s">
        <v>92</v>
      </c>
      <c r="C37" s="547" t="s">
        <v>93</v>
      </c>
      <c r="D37" s="558">
        <v>1101</v>
      </c>
      <c r="E37" s="559" t="s">
        <v>47</v>
      </c>
      <c r="F37" s="550" t="s">
        <v>358</v>
      </c>
      <c r="G37" s="630">
        <f>(365-15)/365*260</f>
        <v>249.31506849315068</v>
      </c>
      <c r="H37" s="554">
        <f>VLOOKUP(E37:$E$53,tabella,2)</f>
        <v>0.86970000000000003</v>
      </c>
      <c r="I37" s="553">
        <v>3</v>
      </c>
      <c r="J37" s="553">
        <v>12</v>
      </c>
      <c r="K37" s="553">
        <f t="shared" si="8"/>
        <v>237</v>
      </c>
      <c r="L37" s="555">
        <f t="shared" si="19"/>
        <v>0.91154000000000002</v>
      </c>
      <c r="M37" s="554">
        <v>1</v>
      </c>
      <c r="N37" s="555">
        <f>ROUND(79/80,5)</f>
        <v>0.98750000000000004</v>
      </c>
      <c r="O37" s="556">
        <f>IF(G37&lt;100,0,(N37*L37)*H37*M37)</f>
        <v>0.78285675877500005</v>
      </c>
      <c r="P37" s="545">
        <f t="shared" si="18"/>
        <v>421.99</v>
      </c>
      <c r="Q37" s="545">
        <v>3</v>
      </c>
      <c r="R37" s="545">
        <f t="shared" si="10"/>
        <v>5.08</v>
      </c>
      <c r="S37" s="536">
        <f t="shared" si="5"/>
        <v>416.91</v>
      </c>
    </row>
    <row r="38" spans="1:19" x14ac:dyDescent="0.2">
      <c r="A38" s="559">
        <v>33</v>
      </c>
      <c r="B38" s="547" t="s">
        <v>275</v>
      </c>
      <c r="C38" s="547" t="s">
        <v>276</v>
      </c>
      <c r="D38" s="558">
        <v>1102</v>
      </c>
      <c r="E38" s="559" t="s">
        <v>47</v>
      </c>
      <c r="F38" s="550" t="s">
        <v>359</v>
      </c>
      <c r="G38" s="540">
        <v>260</v>
      </c>
      <c r="H38" s="554">
        <f>VLOOKUP(E38:$E$53,tabella,2)</f>
        <v>0.86970000000000003</v>
      </c>
      <c r="I38" s="553"/>
      <c r="J38" s="553"/>
      <c r="K38" s="553">
        <f t="shared" si="8"/>
        <v>260</v>
      </c>
      <c r="L38" s="555">
        <f t="shared" si="19"/>
        <v>1</v>
      </c>
      <c r="M38" s="554">
        <f>(1/12*7)+(0.5/12*5)</f>
        <v>0.79166666666666652</v>
      </c>
      <c r="N38" s="555">
        <f>ROUND(78/80,5)</f>
        <v>0.97499999999999998</v>
      </c>
      <c r="O38" s="556">
        <f t="shared" ref="O38:O51" si="20">IF(G38&lt;100,0,(N38*L38)*H38*M38)</f>
        <v>0.67129968749999991</v>
      </c>
      <c r="P38" s="545">
        <f t="shared" si="18"/>
        <v>361.85</v>
      </c>
      <c r="Q38" s="545"/>
      <c r="R38" s="545">
        <f t="shared" si="10"/>
        <v>0</v>
      </c>
      <c r="S38" s="536">
        <f t="shared" ref="S38:S51" si="21">P38-R38</f>
        <v>361.85</v>
      </c>
    </row>
    <row r="39" spans="1:19" x14ac:dyDescent="0.2">
      <c r="A39" s="559">
        <v>34</v>
      </c>
      <c r="B39" s="547" t="s">
        <v>307</v>
      </c>
      <c r="C39" s="547" t="s">
        <v>64</v>
      </c>
      <c r="D39" s="558">
        <v>1102</v>
      </c>
      <c r="E39" s="559" t="s">
        <v>47</v>
      </c>
      <c r="F39" s="550" t="s">
        <v>360</v>
      </c>
      <c r="G39" s="630">
        <f>(31+28+31+30+31+30+31+31)/365*260</f>
        <v>173.0958904109589</v>
      </c>
      <c r="H39" s="554">
        <f>VLOOKUP(E35:$E$53,tabella,2)</f>
        <v>0.86970000000000003</v>
      </c>
      <c r="I39" s="553">
        <v>6</v>
      </c>
      <c r="J39" s="553">
        <v>6</v>
      </c>
      <c r="K39" s="553">
        <f t="shared" si="8"/>
        <v>167</v>
      </c>
      <c r="L39" s="555">
        <f t="shared" si="19"/>
        <v>0.64231000000000005</v>
      </c>
      <c r="M39" s="554">
        <f>(1/12*5)+(0.722/12*3)</f>
        <v>0.59716666666666662</v>
      </c>
      <c r="N39" s="555">
        <f>ROUND(59/80,5)</f>
        <v>0.73750000000000004</v>
      </c>
      <c r="O39" s="556">
        <f t="shared" si="20"/>
        <v>0.24602074880995628</v>
      </c>
      <c r="P39" s="545">
        <f t="shared" si="18"/>
        <v>132.61000000000001</v>
      </c>
      <c r="Q39" s="545">
        <v>6</v>
      </c>
      <c r="R39" s="545">
        <f t="shared" si="10"/>
        <v>4.5999999999999996</v>
      </c>
      <c r="S39" s="536">
        <f t="shared" si="21"/>
        <v>128.01000000000002</v>
      </c>
    </row>
    <row r="40" spans="1:19" s="537" customFormat="1" x14ac:dyDescent="0.2">
      <c r="A40" s="559">
        <v>35</v>
      </c>
      <c r="B40" s="547" t="s">
        <v>303</v>
      </c>
      <c r="C40" s="547" t="s">
        <v>304</v>
      </c>
      <c r="D40" s="558">
        <v>1102</v>
      </c>
      <c r="E40" s="559" t="s">
        <v>47</v>
      </c>
      <c r="F40" s="561"/>
      <c r="G40" s="540">
        <v>260</v>
      </c>
      <c r="H40" s="554">
        <f>VLOOKUP(E36:$E$53,tabella,2)</f>
        <v>0.86970000000000003</v>
      </c>
      <c r="I40" s="553">
        <v>1</v>
      </c>
      <c r="J40" s="553">
        <v>1</v>
      </c>
      <c r="K40" s="553">
        <f t="shared" si="8"/>
        <v>259</v>
      </c>
      <c r="L40" s="555">
        <f t="shared" si="19"/>
        <v>0.99614999999999998</v>
      </c>
      <c r="M40" s="554">
        <v>1</v>
      </c>
      <c r="N40" s="555">
        <f>ROUND(69/80,5)</f>
        <v>0.86250000000000004</v>
      </c>
      <c r="O40" s="556">
        <f t="shared" si="20"/>
        <v>0.74722830243750005</v>
      </c>
      <c r="P40" s="545">
        <f t="shared" si="18"/>
        <v>402.78</v>
      </c>
      <c r="Q40" s="545">
        <v>1</v>
      </c>
      <c r="R40" s="545">
        <f t="shared" si="10"/>
        <v>1.55</v>
      </c>
      <c r="S40" s="536">
        <f t="shared" si="21"/>
        <v>401.22999999999996</v>
      </c>
    </row>
    <row r="41" spans="1:19" x14ac:dyDescent="0.2">
      <c r="A41" s="559">
        <v>36</v>
      </c>
      <c r="B41" s="547" t="s">
        <v>94</v>
      </c>
      <c r="C41" s="547" t="s">
        <v>95</v>
      </c>
      <c r="D41" s="558">
        <v>1102</v>
      </c>
      <c r="E41" s="559" t="s">
        <v>47</v>
      </c>
      <c r="F41" s="549"/>
      <c r="G41" s="540">
        <v>260</v>
      </c>
      <c r="H41" s="554">
        <f>VLOOKUP(E41:$E$53,tabella,2)</f>
        <v>0.86970000000000003</v>
      </c>
      <c r="I41" s="553">
        <v>11</v>
      </c>
      <c r="J41" s="553">
        <v>11</v>
      </c>
      <c r="K41" s="553">
        <f t="shared" si="8"/>
        <v>249</v>
      </c>
      <c r="L41" s="555">
        <f t="shared" si="19"/>
        <v>0.95769000000000004</v>
      </c>
      <c r="M41" s="554">
        <v>1</v>
      </c>
      <c r="N41" s="555">
        <f>ROUND(76/80,5)</f>
        <v>0.95</v>
      </c>
      <c r="O41" s="556">
        <f t="shared" si="20"/>
        <v>0.79125784335000005</v>
      </c>
      <c r="P41" s="545">
        <f t="shared" si="18"/>
        <v>426.51</v>
      </c>
      <c r="Q41" s="545">
        <v>7</v>
      </c>
      <c r="R41" s="545">
        <f t="shared" si="10"/>
        <v>11.48</v>
      </c>
      <c r="S41" s="536">
        <f t="shared" si="21"/>
        <v>415.03</v>
      </c>
    </row>
    <row r="42" spans="1:19" x14ac:dyDescent="0.2">
      <c r="A42" s="559">
        <v>37</v>
      </c>
      <c r="B42" s="547" t="s">
        <v>96</v>
      </c>
      <c r="C42" s="547" t="s">
        <v>97</v>
      </c>
      <c r="D42" s="558">
        <v>1102</v>
      </c>
      <c r="E42" s="559" t="s">
        <v>47</v>
      </c>
      <c r="F42" s="550"/>
      <c r="G42" s="540">
        <v>260</v>
      </c>
      <c r="H42" s="554">
        <f>VLOOKUP(E42:$E$53,tabella,2)</f>
        <v>0.86970000000000003</v>
      </c>
      <c r="I42" s="553">
        <v>10</v>
      </c>
      <c r="J42" s="553">
        <v>10</v>
      </c>
      <c r="K42" s="553">
        <f t="shared" si="8"/>
        <v>250</v>
      </c>
      <c r="L42" s="555">
        <f t="shared" si="19"/>
        <v>0.96153999999999995</v>
      </c>
      <c r="M42" s="554">
        <v>1</v>
      </c>
      <c r="N42" s="555">
        <f>ROUND(76/80,5)</f>
        <v>0.95</v>
      </c>
      <c r="O42" s="556">
        <f t="shared" si="20"/>
        <v>0.79443877109999994</v>
      </c>
      <c r="P42" s="545">
        <f t="shared" si="18"/>
        <v>428.23</v>
      </c>
      <c r="Q42" s="545">
        <v>8</v>
      </c>
      <c r="R42" s="545">
        <f t="shared" si="10"/>
        <v>13.18</v>
      </c>
      <c r="S42" s="536">
        <f t="shared" si="21"/>
        <v>415.05</v>
      </c>
    </row>
    <row r="43" spans="1:19" x14ac:dyDescent="0.2">
      <c r="A43" s="559">
        <v>38</v>
      </c>
      <c r="B43" s="547" t="s">
        <v>89</v>
      </c>
      <c r="C43" s="547" t="s">
        <v>90</v>
      </c>
      <c r="D43" s="558">
        <v>1102</v>
      </c>
      <c r="E43" s="559" t="s">
        <v>47</v>
      </c>
      <c r="F43" s="550" t="s">
        <v>361</v>
      </c>
      <c r="G43" s="540">
        <v>260</v>
      </c>
      <c r="H43" s="554">
        <f>VLOOKUP(E43:$E$53,tabella,2)</f>
        <v>0.86970000000000003</v>
      </c>
      <c r="I43" s="553">
        <v>4</v>
      </c>
      <c r="J43" s="553">
        <v>4</v>
      </c>
      <c r="K43" s="553">
        <f t="shared" si="8"/>
        <v>256</v>
      </c>
      <c r="L43" s="555">
        <f t="shared" si="19"/>
        <v>0.98462000000000005</v>
      </c>
      <c r="M43" s="554">
        <f>(0.7222/12*5)+(1/12*7)</f>
        <v>0.88424999999999998</v>
      </c>
      <c r="N43" s="555">
        <f>ROUND(76/80,5)</f>
        <v>0.95</v>
      </c>
      <c r="O43" s="556">
        <f t="shared" si="20"/>
        <v>0.71934428391052507</v>
      </c>
      <c r="P43" s="545">
        <f t="shared" si="18"/>
        <v>387.75</v>
      </c>
      <c r="Q43" s="545">
        <v>4</v>
      </c>
      <c r="R43" s="545">
        <f t="shared" si="10"/>
        <v>5.97</v>
      </c>
      <c r="S43" s="536">
        <f t="shared" si="21"/>
        <v>381.78</v>
      </c>
    </row>
    <row r="44" spans="1:19" s="524" customFormat="1" x14ac:dyDescent="0.2">
      <c r="A44" s="559">
        <v>39</v>
      </c>
      <c r="B44" s="547" t="s">
        <v>100</v>
      </c>
      <c r="C44" s="547" t="s">
        <v>105</v>
      </c>
      <c r="D44" s="558">
        <v>1101</v>
      </c>
      <c r="E44" s="559" t="s">
        <v>47</v>
      </c>
      <c r="F44" s="559"/>
      <c r="G44" s="540">
        <v>260</v>
      </c>
      <c r="H44" s="554">
        <f>VLOOKUP(E44:$E$53,tabella,2)</f>
        <v>0.86970000000000003</v>
      </c>
      <c r="I44" s="553">
        <v>4</v>
      </c>
      <c r="J44" s="553">
        <v>4</v>
      </c>
      <c r="K44" s="553">
        <f t="shared" si="8"/>
        <v>256</v>
      </c>
      <c r="L44" s="555">
        <f t="shared" si="19"/>
        <v>0.98462000000000005</v>
      </c>
      <c r="M44" s="554">
        <v>1</v>
      </c>
      <c r="N44" s="555">
        <f>ROUND(80/80,5)</f>
        <v>1</v>
      </c>
      <c r="O44" s="556">
        <f t="shared" si="20"/>
        <v>0.85632401400000002</v>
      </c>
      <c r="P44" s="545">
        <f t="shared" si="18"/>
        <v>461.59</v>
      </c>
      <c r="Q44" s="545">
        <v>4</v>
      </c>
      <c r="R44" s="545">
        <f t="shared" si="10"/>
        <v>7.1</v>
      </c>
      <c r="S44" s="536">
        <f t="shared" si="21"/>
        <v>454.48999999999995</v>
      </c>
    </row>
    <row r="45" spans="1:19" x14ac:dyDescent="0.2">
      <c r="A45" s="559">
        <v>40</v>
      </c>
      <c r="B45" s="547" t="s">
        <v>109</v>
      </c>
      <c r="C45" s="547" t="s">
        <v>110</v>
      </c>
      <c r="D45" s="558">
        <v>1102</v>
      </c>
      <c r="E45" s="559" t="s">
        <v>47</v>
      </c>
      <c r="F45" s="547"/>
      <c r="G45" s="540">
        <v>260</v>
      </c>
      <c r="H45" s="554">
        <f>VLOOKUP(E45:$E$53,tabella,2)</f>
        <v>0.86970000000000003</v>
      </c>
      <c r="I45" s="553">
        <v>2</v>
      </c>
      <c r="J45" s="553">
        <v>2</v>
      </c>
      <c r="K45" s="553">
        <f t="shared" si="8"/>
        <v>258</v>
      </c>
      <c r="L45" s="555">
        <f t="shared" si="19"/>
        <v>0.99231000000000003</v>
      </c>
      <c r="M45" s="554">
        <v>1</v>
      </c>
      <c r="N45" s="555">
        <f>ROUND(76/80,5)</f>
        <v>0.95</v>
      </c>
      <c r="O45" s="556">
        <f t="shared" si="20"/>
        <v>0.81986140665000007</v>
      </c>
      <c r="P45" s="545">
        <f t="shared" si="18"/>
        <v>441.93</v>
      </c>
      <c r="Q45" s="545">
        <v>2</v>
      </c>
      <c r="R45" s="545">
        <f t="shared" si="10"/>
        <v>3.4</v>
      </c>
      <c r="S45" s="536">
        <f t="shared" si="21"/>
        <v>438.53000000000003</v>
      </c>
    </row>
    <row r="46" spans="1:19" x14ac:dyDescent="0.2">
      <c r="A46" s="559">
        <v>41</v>
      </c>
      <c r="B46" s="547" t="s">
        <v>107</v>
      </c>
      <c r="C46" s="547" t="s">
        <v>108</v>
      </c>
      <c r="D46" s="558">
        <v>1102</v>
      </c>
      <c r="E46" s="559" t="s">
        <v>47</v>
      </c>
      <c r="F46" s="547"/>
      <c r="G46" s="540">
        <v>260</v>
      </c>
      <c r="H46" s="554">
        <f>VLOOKUP(E46:$E$53,tabella,2)</f>
        <v>0.86970000000000003</v>
      </c>
      <c r="I46" s="553"/>
      <c r="J46" s="553"/>
      <c r="K46" s="553">
        <f t="shared" si="8"/>
        <v>260</v>
      </c>
      <c r="L46" s="555">
        <f t="shared" si="19"/>
        <v>1</v>
      </c>
      <c r="M46" s="554">
        <v>1</v>
      </c>
      <c r="N46" s="555">
        <f>ROUND(76/80,5)</f>
        <v>0.95</v>
      </c>
      <c r="O46" s="556">
        <f t="shared" si="20"/>
        <v>0.82621500000000003</v>
      </c>
      <c r="P46" s="545">
        <f t="shared" si="18"/>
        <v>445.36</v>
      </c>
      <c r="Q46" s="545"/>
      <c r="R46" s="545">
        <f t="shared" si="10"/>
        <v>0</v>
      </c>
      <c r="S46" s="536">
        <f t="shared" si="21"/>
        <v>445.36</v>
      </c>
    </row>
    <row r="47" spans="1:19" x14ac:dyDescent="0.2">
      <c r="A47" s="559">
        <v>42</v>
      </c>
      <c r="B47" s="547" t="s">
        <v>99</v>
      </c>
      <c r="C47" s="547" t="s">
        <v>64</v>
      </c>
      <c r="D47" s="558">
        <v>1102</v>
      </c>
      <c r="E47" s="559" t="s">
        <v>47</v>
      </c>
      <c r="F47" s="550"/>
      <c r="G47" s="540">
        <v>260</v>
      </c>
      <c r="H47" s="554">
        <f>VLOOKUP(E47:$E$53,tabella,2)</f>
        <v>0.86970000000000003</v>
      </c>
      <c r="I47" s="553"/>
      <c r="J47" s="553"/>
      <c r="K47" s="553">
        <f t="shared" si="8"/>
        <v>260</v>
      </c>
      <c r="L47" s="555">
        <f t="shared" si="19"/>
        <v>1</v>
      </c>
      <c r="M47" s="554">
        <v>1</v>
      </c>
      <c r="N47" s="555">
        <f>ROUND(76/80,5)</f>
        <v>0.95</v>
      </c>
      <c r="O47" s="556">
        <f t="shared" si="20"/>
        <v>0.82621500000000003</v>
      </c>
      <c r="P47" s="545">
        <f t="shared" si="18"/>
        <v>445.36</v>
      </c>
      <c r="Q47" s="545"/>
      <c r="R47" s="545">
        <f t="shared" si="10"/>
        <v>0</v>
      </c>
      <c r="S47" s="536">
        <f t="shared" si="21"/>
        <v>445.36</v>
      </c>
    </row>
    <row r="48" spans="1:19" x14ac:dyDescent="0.2">
      <c r="A48" s="559">
        <v>43</v>
      </c>
      <c r="B48" s="547" t="s">
        <v>63</v>
      </c>
      <c r="C48" s="547" t="s">
        <v>64</v>
      </c>
      <c r="D48" s="558">
        <v>1101</v>
      </c>
      <c r="E48" s="559" t="s">
        <v>158</v>
      </c>
      <c r="F48" s="547"/>
      <c r="G48" s="540">
        <v>260</v>
      </c>
      <c r="H48" s="554">
        <f>VLOOKUP(E48:$E$53,tabella,2)</f>
        <v>0.86970000000000003</v>
      </c>
      <c r="I48" s="553">
        <v>1</v>
      </c>
      <c r="J48" s="553">
        <v>1</v>
      </c>
      <c r="K48" s="553">
        <f t="shared" si="8"/>
        <v>259</v>
      </c>
      <c r="L48" s="554">
        <f t="shared" si="19"/>
        <v>0.99614999999999998</v>
      </c>
      <c r="M48" s="554">
        <v>1</v>
      </c>
      <c r="N48" s="555">
        <f>ROUND(80/80,5)</f>
        <v>1</v>
      </c>
      <c r="O48" s="556">
        <f t="shared" si="20"/>
        <v>0.866351655</v>
      </c>
      <c r="P48" s="545">
        <f t="shared" si="18"/>
        <v>466.99</v>
      </c>
      <c r="Q48" s="545">
        <v>1</v>
      </c>
      <c r="R48" s="545">
        <f t="shared" si="10"/>
        <v>1.8</v>
      </c>
      <c r="S48" s="536">
        <f t="shared" si="21"/>
        <v>465.19</v>
      </c>
    </row>
    <row r="49" spans="1:19" x14ac:dyDescent="0.2">
      <c r="A49" s="559">
        <v>44</v>
      </c>
      <c r="B49" s="547" t="s">
        <v>82</v>
      </c>
      <c r="C49" s="547" t="s">
        <v>83</v>
      </c>
      <c r="D49" s="558">
        <v>1101</v>
      </c>
      <c r="E49" s="559" t="s">
        <v>85</v>
      </c>
      <c r="F49" s="561"/>
      <c r="G49" s="540">
        <v>260</v>
      </c>
      <c r="H49" s="554">
        <f>VLOOKUP(E49:$E$53,tabella,2)</f>
        <v>1</v>
      </c>
      <c r="I49" s="553">
        <v>1</v>
      </c>
      <c r="J49" s="553">
        <v>1</v>
      </c>
      <c r="K49" s="553">
        <f t="shared" si="8"/>
        <v>259</v>
      </c>
      <c r="L49" s="555">
        <f t="shared" si="19"/>
        <v>0.99614999999999998</v>
      </c>
      <c r="M49" s="554">
        <v>1</v>
      </c>
      <c r="N49" s="555">
        <f>ROUND(80/80,5)</f>
        <v>1</v>
      </c>
      <c r="O49" s="556">
        <f t="shared" si="20"/>
        <v>0.99614999999999998</v>
      </c>
      <c r="P49" s="545">
        <f t="shared" si="18"/>
        <v>536.96</v>
      </c>
      <c r="Q49" s="545">
        <v>1</v>
      </c>
      <c r="R49" s="545">
        <f t="shared" si="10"/>
        <v>2.0699999999999998</v>
      </c>
      <c r="S49" s="536">
        <f t="shared" si="21"/>
        <v>534.89</v>
      </c>
    </row>
    <row r="50" spans="1:19" s="524" customFormat="1" x14ac:dyDescent="0.2">
      <c r="A50" s="559">
        <v>45</v>
      </c>
      <c r="B50" s="547" t="s">
        <v>100</v>
      </c>
      <c r="C50" s="547" t="s">
        <v>101</v>
      </c>
      <c r="D50" s="558">
        <v>1102</v>
      </c>
      <c r="E50" s="559" t="s">
        <v>85</v>
      </c>
      <c r="F50" s="550"/>
      <c r="G50" s="540">
        <v>260</v>
      </c>
      <c r="H50" s="554">
        <f>VLOOKUP(E50:$E$53,tabella,2)</f>
        <v>1</v>
      </c>
      <c r="I50" s="553">
        <v>3</v>
      </c>
      <c r="J50" s="553">
        <v>3</v>
      </c>
      <c r="K50" s="553">
        <f t="shared" si="8"/>
        <v>257</v>
      </c>
      <c r="L50" s="555">
        <f t="shared" si="19"/>
        <v>0.98846000000000001</v>
      </c>
      <c r="M50" s="554">
        <v>1</v>
      </c>
      <c r="N50" s="555">
        <f>ROUND(80/80,5)</f>
        <v>1</v>
      </c>
      <c r="O50" s="556">
        <f t="shared" si="20"/>
        <v>0.98846000000000001</v>
      </c>
      <c r="P50" s="545">
        <f t="shared" si="18"/>
        <v>532.80999999999995</v>
      </c>
      <c r="Q50" s="545">
        <v>3</v>
      </c>
      <c r="R50" s="545">
        <f t="shared" si="10"/>
        <v>6.15</v>
      </c>
      <c r="S50" s="536">
        <f t="shared" si="21"/>
        <v>526.66</v>
      </c>
    </row>
    <row r="51" spans="1:19" s="533" customFormat="1" x14ac:dyDescent="0.2">
      <c r="A51" s="559">
        <v>46</v>
      </c>
      <c r="B51" s="547" t="s">
        <v>51</v>
      </c>
      <c r="C51" s="547" t="s">
        <v>52</v>
      </c>
      <c r="D51" s="558">
        <v>1101</v>
      </c>
      <c r="E51" s="559" t="s">
        <v>85</v>
      </c>
      <c r="F51" s="550"/>
      <c r="G51" s="540">
        <v>260</v>
      </c>
      <c r="H51" s="554">
        <f>VLOOKUP(E51:$E$53,tabella,2)</f>
        <v>1</v>
      </c>
      <c r="I51" s="553">
        <v>3</v>
      </c>
      <c r="J51" s="553">
        <v>15</v>
      </c>
      <c r="K51" s="553">
        <f t="shared" si="8"/>
        <v>245</v>
      </c>
      <c r="L51" s="555">
        <f t="shared" si="19"/>
        <v>0.94230999999999998</v>
      </c>
      <c r="M51" s="554">
        <v>1</v>
      </c>
      <c r="N51" s="555">
        <f>ROUND(80/80,5)</f>
        <v>1</v>
      </c>
      <c r="O51" s="556">
        <f t="shared" si="20"/>
        <v>0.94230999999999998</v>
      </c>
      <c r="P51" s="545">
        <f t="shared" si="18"/>
        <v>507.94</v>
      </c>
      <c r="Q51" s="545">
        <v>3</v>
      </c>
      <c r="R51" s="545">
        <f>ROUND(P51/260*Q51,2)</f>
        <v>5.86</v>
      </c>
      <c r="S51" s="536">
        <f t="shared" si="21"/>
        <v>502.08</v>
      </c>
    </row>
    <row r="52" spans="1:19" x14ac:dyDescent="0.2">
      <c r="A52" s="538"/>
      <c r="B52" s="532"/>
      <c r="C52" s="532"/>
      <c r="D52" s="532"/>
      <c r="E52" s="532"/>
      <c r="F52" s="532" t="s">
        <v>36</v>
      </c>
      <c r="G52" s="530"/>
      <c r="H52" s="530"/>
      <c r="I52" s="530"/>
      <c r="J52" s="530"/>
      <c r="K52" s="530"/>
      <c r="L52" s="530"/>
      <c r="M52" s="563"/>
      <c r="N52" s="532"/>
      <c r="O52" s="532"/>
      <c r="P52" s="532"/>
      <c r="Q52" s="532"/>
    </row>
    <row r="53" spans="1:19" s="537" customFormat="1" ht="22.5" x14ac:dyDescent="0.2">
      <c r="A53" s="560"/>
      <c r="B53" s="539"/>
      <c r="C53" s="539"/>
      <c r="D53" s="523"/>
      <c r="E53" s="538"/>
      <c r="F53" s="540"/>
      <c r="G53" s="540"/>
      <c r="H53" s="541"/>
      <c r="I53" s="541"/>
      <c r="J53" s="542"/>
      <c r="K53" s="542"/>
      <c r="L53" s="542"/>
      <c r="M53" s="541"/>
      <c r="N53" s="564"/>
      <c r="O53" s="544"/>
      <c r="P53" s="545"/>
      <c r="Q53" s="545"/>
      <c r="R53" s="565" t="s">
        <v>233</v>
      </c>
      <c r="S53" s="566"/>
    </row>
    <row r="54" spans="1:19" x14ac:dyDescent="0.2">
      <c r="A54" s="538"/>
      <c r="B54" s="547"/>
      <c r="C54" s="547"/>
      <c r="E54" s="538"/>
      <c r="F54" s="540"/>
      <c r="G54" s="540"/>
      <c r="H54" s="541"/>
      <c r="I54" s="541"/>
      <c r="J54" s="541"/>
      <c r="K54" s="541"/>
      <c r="L54" s="541"/>
      <c r="M54" s="541"/>
      <c r="N54" s="543"/>
      <c r="O54" s="541"/>
      <c r="P54" s="541"/>
      <c r="Q54" s="541"/>
      <c r="R54" s="541"/>
      <c r="S54" s="541"/>
    </row>
    <row r="55" spans="1:19" s="627" customFormat="1" ht="15.75" x14ac:dyDescent="0.25">
      <c r="A55" s="624"/>
      <c r="B55" s="625">
        <f>CALCOLI!E66</f>
        <v>15996.507</v>
      </c>
      <c r="C55" s="626"/>
      <c r="E55" s="624"/>
      <c r="F55" s="628"/>
      <c r="G55" s="629">
        <f>ROUND(SUM(G3:G51),2)</f>
        <v>11261.21</v>
      </c>
      <c r="H55" s="629">
        <f>ROUND(SUM(H3:H51),2)</f>
        <v>40.549999999999997</v>
      </c>
      <c r="I55" s="629">
        <f t="shared" ref="I55:S55" si="22">ROUND(SUM(I3:I51),2)</f>
        <v>198</v>
      </c>
      <c r="J55" s="629">
        <f t="shared" si="22"/>
        <v>276</v>
      </c>
      <c r="K55" s="629">
        <f t="shared" si="22"/>
        <v>10985</v>
      </c>
      <c r="L55" s="629">
        <f t="shared" si="22"/>
        <v>42.25</v>
      </c>
      <c r="M55" s="629"/>
      <c r="N55" s="629">
        <f t="shared" si="22"/>
        <v>45.97</v>
      </c>
      <c r="O55" s="629">
        <f>ROUND(SUM(O3:O51),5)</f>
        <v>29.67633</v>
      </c>
      <c r="P55" s="629">
        <f t="shared" si="22"/>
        <v>15996.53</v>
      </c>
      <c r="Q55" s="629">
        <f t="shared" si="22"/>
        <v>133</v>
      </c>
      <c r="R55" s="629">
        <f t="shared" si="22"/>
        <v>182.54</v>
      </c>
      <c r="S55" s="629">
        <f t="shared" si="22"/>
        <v>15813.99</v>
      </c>
    </row>
    <row r="56" spans="1:19" x14ac:dyDescent="0.2">
      <c r="A56" s="538"/>
      <c r="B56" s="539"/>
      <c r="C56" s="539"/>
      <c r="E56" s="538"/>
      <c r="F56" s="540"/>
      <c r="G56" s="540"/>
      <c r="H56" s="541"/>
      <c r="I56" s="541"/>
      <c r="J56" s="542"/>
      <c r="K56" s="542"/>
      <c r="L56" s="542"/>
      <c r="M56" s="541"/>
      <c r="N56" s="543"/>
      <c r="O56" s="544"/>
      <c r="P56" s="545"/>
      <c r="Q56" s="545"/>
      <c r="R56" s="567"/>
      <c r="S56" s="568"/>
    </row>
    <row r="57" spans="1:19" ht="15.75" x14ac:dyDescent="0.25">
      <c r="A57" s="538"/>
      <c r="B57" s="569" t="s">
        <v>231</v>
      </c>
      <c r="C57" s="539">
        <f>ROUND(B55/O55,18)</f>
        <v>539.03252187854798</v>
      </c>
      <c r="E57" s="538"/>
      <c r="F57" s="540"/>
      <c r="G57" s="540"/>
      <c r="H57" s="541"/>
      <c r="I57" s="541"/>
      <c r="J57" s="542"/>
      <c r="K57" s="542"/>
      <c r="L57" s="542"/>
      <c r="M57" s="541"/>
      <c r="N57" s="543"/>
      <c r="O57" s="544"/>
      <c r="P57" s="545"/>
      <c r="Q57" s="545"/>
      <c r="R57" s="567"/>
      <c r="S57" s="568"/>
    </row>
    <row r="58" spans="1:19" ht="15.75" customHeight="1" x14ac:dyDescent="0.2">
      <c r="A58" s="700" t="s">
        <v>178</v>
      </c>
      <c r="B58" s="700"/>
      <c r="C58" s="700"/>
      <c r="E58" s="538"/>
      <c r="F58" s="540"/>
      <c r="G58" s="540"/>
      <c r="H58" s="541"/>
      <c r="I58" s="541"/>
      <c r="J58" s="542"/>
      <c r="K58" s="542"/>
      <c r="L58" s="542"/>
      <c r="M58" s="541"/>
      <c r="N58" s="543"/>
      <c r="O58" s="544"/>
      <c r="P58" s="545"/>
      <c r="Q58" s="545"/>
      <c r="R58" s="567"/>
      <c r="S58" s="568"/>
    </row>
    <row r="59" spans="1:19" x14ac:dyDescent="0.2">
      <c r="A59" s="559"/>
      <c r="B59" s="547"/>
      <c r="C59" s="547"/>
      <c r="D59" s="523">
        <v>1101</v>
      </c>
      <c r="E59" s="559" t="s">
        <v>44</v>
      </c>
      <c r="F59" s="548"/>
      <c r="G59" s="540"/>
      <c r="H59" s="541">
        <f>VLOOKUP(E59,tabella,2)</f>
        <v>0.79930000000000001</v>
      </c>
      <c r="I59" s="542"/>
      <c r="J59" s="542"/>
      <c r="K59" s="542">
        <f>G59-J59</f>
        <v>0</v>
      </c>
      <c r="L59" s="543">
        <f>ROUND(K59/260,5)</f>
        <v>0</v>
      </c>
      <c r="M59" s="541">
        <v>1</v>
      </c>
      <c r="N59" s="543">
        <f>ROUND(0/65,5)</f>
        <v>0</v>
      </c>
      <c r="O59" s="544">
        <f>IF(G59&lt;60,0,(N59*L59)*H59*M59)</f>
        <v>0</v>
      </c>
      <c r="P59" s="545">
        <f>ROUND(O59*$C$57,2)</f>
        <v>0</v>
      </c>
      <c r="Q59" s="545"/>
      <c r="R59" s="545" t="e">
        <f>ROUND(P59/G59*Q59,2)</f>
        <v>#DIV/0!</v>
      </c>
      <c r="S59" s="536" t="e">
        <f>P59-R59</f>
        <v>#DIV/0!</v>
      </c>
    </row>
    <row r="60" spans="1:19" x14ac:dyDescent="0.2">
      <c r="A60" s="538"/>
      <c r="B60" s="539" t="s">
        <v>176</v>
      </c>
      <c r="C60" s="539" t="s">
        <v>177</v>
      </c>
      <c r="E60" s="538"/>
      <c r="F60" s="540"/>
      <c r="G60" s="540"/>
      <c r="H60" s="541"/>
      <c r="I60" s="541"/>
      <c r="J60" s="542"/>
      <c r="K60" s="542"/>
      <c r="L60" s="542"/>
      <c r="M60" s="541"/>
      <c r="N60" s="564"/>
      <c r="O60" s="544"/>
      <c r="P60" s="545"/>
      <c r="Q60" s="545"/>
      <c r="R60" s="567"/>
      <c r="S60" s="570"/>
    </row>
    <row r="61" spans="1:19" ht="15" x14ac:dyDescent="0.25">
      <c r="A61" s="538"/>
      <c r="B61" s="523" t="s">
        <v>37</v>
      </c>
      <c r="C61" s="523">
        <v>0.70850000000000002</v>
      </c>
      <c r="E61" s="538"/>
      <c r="F61" s="550"/>
      <c r="G61" s="540"/>
      <c r="H61" s="541"/>
      <c r="I61" s="541"/>
      <c r="J61" s="542"/>
      <c r="K61" s="542"/>
      <c r="L61" s="542"/>
      <c r="M61" s="541"/>
      <c r="N61" s="564"/>
      <c r="O61" s="535"/>
      <c r="P61" s="536" t="s">
        <v>234</v>
      </c>
      <c r="Q61" s="545"/>
      <c r="R61" s="571">
        <f>SUM(R55)</f>
        <v>182.54</v>
      </c>
      <c r="S61" s="571"/>
    </row>
    <row r="62" spans="1:19" x14ac:dyDescent="0.2">
      <c r="A62" s="538"/>
      <c r="B62" s="523" t="s">
        <v>41</v>
      </c>
      <c r="C62" s="523">
        <v>0.749</v>
      </c>
      <c r="E62" s="532"/>
      <c r="F62" s="532"/>
      <c r="G62" s="532"/>
      <c r="H62" s="532"/>
      <c r="I62" s="532"/>
      <c r="J62" s="532"/>
      <c r="K62" s="532"/>
      <c r="L62" s="532"/>
      <c r="M62" s="534"/>
      <c r="N62" s="532"/>
      <c r="O62" s="532"/>
      <c r="P62" s="572"/>
      <c r="Q62" s="572"/>
    </row>
    <row r="63" spans="1:19" x14ac:dyDescent="0.2">
      <c r="A63" s="573"/>
      <c r="B63" s="523" t="s">
        <v>44</v>
      </c>
      <c r="C63" s="574">
        <v>0.79930000000000001</v>
      </c>
      <c r="E63" s="532"/>
      <c r="F63" s="532"/>
      <c r="G63" s="532"/>
      <c r="H63" s="532"/>
      <c r="I63" s="532"/>
      <c r="J63" s="532"/>
      <c r="K63" s="532"/>
      <c r="L63" s="532"/>
      <c r="M63" s="534"/>
      <c r="N63" s="532"/>
      <c r="O63" s="532"/>
      <c r="P63" s="572"/>
      <c r="Q63" s="572"/>
    </row>
    <row r="64" spans="1:19" x14ac:dyDescent="0.2">
      <c r="A64" s="538"/>
      <c r="B64" s="523" t="s">
        <v>47</v>
      </c>
      <c r="C64" s="523">
        <v>0.86970000000000003</v>
      </c>
      <c r="E64" s="558" t="s">
        <v>258</v>
      </c>
      <c r="F64" s="575"/>
      <c r="G64" s="575"/>
      <c r="H64" s="576"/>
      <c r="I64" s="576"/>
      <c r="J64" s="542"/>
      <c r="K64" s="542"/>
      <c r="L64" s="542"/>
      <c r="M64" s="541"/>
      <c r="N64" s="564"/>
      <c r="O64" s="564"/>
      <c r="P64" s="545"/>
      <c r="Q64" s="545"/>
    </row>
    <row r="65" spans="1:19" x14ac:dyDescent="0.2">
      <c r="A65" s="538"/>
      <c r="B65" s="523" t="s">
        <v>85</v>
      </c>
      <c r="C65" s="523">
        <v>1</v>
      </c>
      <c r="E65" s="538"/>
      <c r="F65" s="557"/>
      <c r="G65" s="540"/>
      <c r="H65" s="541"/>
      <c r="I65" s="541"/>
      <c r="J65" s="542"/>
      <c r="K65" s="542"/>
      <c r="L65" s="542"/>
      <c r="M65" s="541"/>
      <c r="N65" s="564"/>
      <c r="O65" s="564"/>
      <c r="P65" s="545"/>
      <c r="Q65" s="545"/>
    </row>
    <row r="66" spans="1:19" x14ac:dyDescent="0.2">
      <c r="A66" s="538"/>
      <c r="B66" s="539"/>
      <c r="C66" s="539"/>
      <c r="E66" s="538"/>
      <c r="F66" s="557"/>
      <c r="G66" s="540"/>
      <c r="H66" s="541"/>
      <c r="I66" s="541"/>
      <c r="J66" s="542"/>
      <c r="K66" s="542"/>
      <c r="L66" s="542"/>
      <c r="M66" s="541"/>
      <c r="N66" s="564"/>
      <c r="O66" s="564"/>
      <c r="P66" s="545"/>
      <c r="Q66" s="545"/>
      <c r="R66" s="567"/>
      <c r="S66" s="570"/>
    </row>
    <row r="67" spans="1:19" x14ac:dyDescent="0.2">
      <c r="A67" s="538"/>
      <c r="P67" s="577"/>
      <c r="Q67" s="577"/>
      <c r="R67" s="567"/>
      <c r="S67" s="570"/>
    </row>
    <row r="68" spans="1:19" x14ac:dyDescent="0.2">
      <c r="B68" s="539"/>
      <c r="C68" s="539"/>
      <c r="D68" s="539"/>
      <c r="E68" s="539"/>
      <c r="P68" s="577"/>
      <c r="Q68" s="577"/>
      <c r="R68" s="567"/>
      <c r="S68" s="570"/>
    </row>
    <row r="69" spans="1:19" x14ac:dyDescent="0.2">
      <c r="A69" s="539"/>
      <c r="F69" s="524"/>
      <c r="G69" s="524"/>
      <c r="R69" s="577"/>
      <c r="S69" s="577"/>
    </row>
    <row r="70" spans="1:19" s="539" customFormat="1" x14ac:dyDescent="0.2">
      <c r="A70" s="523" t="s">
        <v>229</v>
      </c>
      <c r="B70" s="523"/>
      <c r="C70" s="523"/>
      <c r="D70" s="523"/>
      <c r="E70" s="523"/>
      <c r="F70" s="579"/>
      <c r="G70" s="579"/>
      <c r="H70" s="523"/>
      <c r="I70" s="523"/>
      <c r="J70" s="523"/>
      <c r="K70" s="523"/>
      <c r="L70" s="523"/>
      <c r="M70" s="574"/>
      <c r="N70" s="523"/>
      <c r="O70" s="523"/>
      <c r="P70" s="578"/>
      <c r="Q70" s="578"/>
      <c r="R70" s="577"/>
      <c r="S70" s="577"/>
    </row>
    <row r="71" spans="1:19" x14ac:dyDescent="0.2">
      <c r="A71" s="523" t="s">
        <v>230</v>
      </c>
      <c r="F71" s="580"/>
      <c r="G71" s="580"/>
      <c r="N71" s="581"/>
      <c r="O71" s="581"/>
    </row>
    <row r="72" spans="1:19" x14ac:dyDescent="0.2">
      <c r="F72" s="582"/>
      <c r="G72" s="582"/>
      <c r="N72" s="581"/>
      <c r="O72" s="581"/>
      <c r="R72" s="583"/>
      <c r="S72" s="584"/>
    </row>
    <row r="73" spans="1:19" x14ac:dyDescent="0.2">
      <c r="A73" s="523" t="s">
        <v>253</v>
      </c>
      <c r="B73" s="547" t="s">
        <v>254</v>
      </c>
      <c r="C73" s="539"/>
      <c r="F73" s="585"/>
      <c r="G73" s="585"/>
      <c r="H73" s="581"/>
      <c r="I73" s="581"/>
      <c r="J73" s="581"/>
      <c r="K73" s="581"/>
      <c r="L73" s="581"/>
      <c r="M73" s="586"/>
      <c r="N73" s="581"/>
      <c r="O73" s="581"/>
      <c r="P73" s="581"/>
      <c r="Q73" s="581"/>
    </row>
    <row r="74" spans="1:19" x14ac:dyDescent="0.2">
      <c r="A74" s="587"/>
      <c r="F74" s="588"/>
      <c r="G74" s="588"/>
      <c r="H74" s="589"/>
      <c r="I74" s="589"/>
      <c r="J74" s="589"/>
      <c r="K74" s="589"/>
      <c r="L74" s="589"/>
      <c r="M74" s="590"/>
      <c r="N74" s="589"/>
      <c r="O74" s="589"/>
      <c r="P74" s="589"/>
      <c r="Q74" s="589"/>
    </row>
    <row r="75" spans="1:19" x14ac:dyDescent="0.2">
      <c r="B75" s="524"/>
      <c r="C75" s="580"/>
      <c r="D75" s="591"/>
      <c r="E75" s="592"/>
      <c r="F75" s="585"/>
      <c r="G75" s="585"/>
      <c r="H75" s="581"/>
      <c r="I75" s="581"/>
      <c r="J75" s="581"/>
      <c r="K75" s="581"/>
      <c r="L75" s="581"/>
      <c r="M75" s="586"/>
      <c r="N75" s="581"/>
      <c r="O75" s="581"/>
      <c r="P75" s="581"/>
      <c r="Q75" s="581"/>
    </row>
    <row r="76" spans="1:19" s="524" customFormat="1" x14ac:dyDescent="0.2">
      <c r="A76" s="523"/>
      <c r="B76" s="523"/>
      <c r="C76" s="591"/>
      <c r="D76" s="591"/>
      <c r="E76" s="591"/>
      <c r="F76" s="580"/>
      <c r="G76" s="580"/>
      <c r="H76" s="581"/>
      <c r="I76" s="581"/>
      <c r="J76" s="581"/>
      <c r="K76" s="581"/>
      <c r="L76" s="581"/>
      <c r="M76" s="586"/>
      <c r="N76" s="581"/>
      <c r="O76" s="581"/>
      <c r="P76" s="581"/>
      <c r="Q76" s="581"/>
      <c r="R76" s="593"/>
      <c r="S76" s="594"/>
    </row>
    <row r="77" spans="1:19" x14ac:dyDescent="0.2">
      <c r="A77" s="538" t="s">
        <v>111</v>
      </c>
      <c r="B77" s="539"/>
      <c r="C77" s="539"/>
      <c r="E77" s="538"/>
      <c r="F77" s="540"/>
      <c r="G77" s="540"/>
      <c r="H77" s="541"/>
      <c r="I77" s="542"/>
      <c r="J77" s="542"/>
      <c r="K77" s="542"/>
      <c r="L77" s="542"/>
      <c r="M77" s="541"/>
      <c r="N77" s="564"/>
      <c r="O77" s="544"/>
      <c r="P77" s="545"/>
      <c r="Q77" s="545"/>
      <c r="R77" s="545"/>
      <c r="S77" s="536"/>
    </row>
    <row r="78" spans="1:19" x14ac:dyDescent="0.2">
      <c r="A78" s="538"/>
      <c r="B78" s="539"/>
      <c r="C78" s="539">
        <v>1103</v>
      </c>
      <c r="D78" s="523" t="s">
        <v>113</v>
      </c>
      <c r="E78" s="538"/>
      <c r="F78" s="540"/>
      <c r="G78" s="540"/>
      <c r="H78" s="541"/>
      <c r="I78" s="542"/>
      <c r="J78" s="542"/>
      <c r="K78" s="542"/>
      <c r="L78" s="542"/>
      <c r="M78" s="541"/>
      <c r="N78" s="564"/>
      <c r="O78" s="544"/>
      <c r="P78" s="545"/>
      <c r="Q78" s="545"/>
      <c r="R78" s="545"/>
      <c r="S78" s="536"/>
    </row>
    <row r="79" spans="1:19" x14ac:dyDescent="0.2">
      <c r="A79" s="538"/>
      <c r="B79" s="539"/>
      <c r="C79" s="539"/>
      <c r="E79" s="538"/>
      <c r="F79" s="540"/>
      <c r="G79" s="540"/>
      <c r="H79" s="541"/>
      <c r="I79" s="542"/>
      <c r="J79" s="542"/>
      <c r="K79" s="542"/>
      <c r="L79" s="542"/>
      <c r="M79" s="541"/>
      <c r="N79" s="564"/>
      <c r="O79" s="544"/>
      <c r="P79" s="545"/>
      <c r="Q79" s="545"/>
      <c r="R79" s="545"/>
      <c r="S79" s="536"/>
    </row>
    <row r="80" spans="1:19" x14ac:dyDescent="0.2">
      <c r="A80" s="538"/>
      <c r="B80" s="539"/>
      <c r="C80" s="539"/>
      <c r="E80" s="538"/>
      <c r="F80" s="540"/>
      <c r="G80" s="540"/>
      <c r="H80" s="541"/>
      <c r="I80" s="542"/>
      <c r="J80" s="542"/>
      <c r="K80" s="542"/>
      <c r="L80" s="542"/>
      <c r="M80" s="541"/>
      <c r="N80" s="564"/>
      <c r="O80" s="544"/>
      <c r="P80" s="545"/>
      <c r="Q80" s="545"/>
      <c r="R80" s="545"/>
      <c r="S80" s="536"/>
    </row>
    <row r="81" spans="1:19" x14ac:dyDescent="0.2">
      <c r="A81" s="538"/>
      <c r="B81" s="539" t="s">
        <v>223</v>
      </c>
      <c r="C81" s="533">
        <f>SUMIF($D$4:$D$51,"1101",$P$4:$P$51)</f>
        <v>9446.1100000000024</v>
      </c>
      <c r="D81" s="523">
        <f>ROUND(C81*23.8%,2)</f>
        <v>2248.17</v>
      </c>
      <c r="E81" s="538"/>
      <c r="F81" s="561"/>
      <c r="G81" s="540"/>
      <c r="H81" s="541"/>
      <c r="I81" s="542"/>
      <c r="J81" s="542"/>
      <c r="K81" s="542"/>
      <c r="L81" s="542"/>
      <c r="M81" s="541"/>
      <c r="N81" s="564"/>
      <c r="O81" s="544"/>
      <c r="P81" s="545"/>
      <c r="Q81" s="545"/>
      <c r="R81" s="545"/>
      <c r="S81" s="536"/>
    </row>
    <row r="82" spans="1:19" x14ac:dyDescent="0.2">
      <c r="A82" s="538"/>
      <c r="B82" s="539" t="s">
        <v>143</v>
      </c>
      <c r="C82" s="533"/>
      <c r="D82" s="523">
        <f>ROUND(C82*23.8%,2)</f>
        <v>0</v>
      </c>
      <c r="E82" s="538"/>
      <c r="F82" s="540"/>
      <c r="G82" s="540"/>
      <c r="H82" s="541"/>
      <c r="I82" s="542"/>
      <c r="J82" s="542"/>
      <c r="K82" s="542"/>
      <c r="L82" s="542"/>
      <c r="M82" s="541"/>
      <c r="N82" s="564"/>
      <c r="O82" s="544"/>
      <c r="P82" s="545"/>
      <c r="Q82" s="545"/>
      <c r="R82" s="545"/>
      <c r="S82" s="536"/>
    </row>
    <row r="83" spans="1:19" x14ac:dyDescent="0.2">
      <c r="A83" s="538"/>
      <c r="B83" s="539" t="s">
        <v>224</v>
      </c>
      <c r="C83" s="533"/>
      <c r="D83" s="523">
        <f>SUM(D81:D82)+C82</f>
        <v>2248.17</v>
      </c>
      <c r="E83" s="538"/>
      <c r="F83" s="561"/>
      <c r="G83" s="540"/>
      <c r="H83" s="541"/>
      <c r="I83" s="542"/>
      <c r="J83" s="542"/>
      <c r="K83" s="542"/>
      <c r="L83" s="542"/>
      <c r="M83" s="541"/>
      <c r="N83" s="564"/>
      <c r="O83" s="544"/>
      <c r="P83" s="545"/>
      <c r="Q83" s="545"/>
      <c r="R83" s="545"/>
      <c r="S83" s="536"/>
    </row>
    <row r="84" spans="1:19" x14ac:dyDescent="0.2">
      <c r="A84" s="538"/>
      <c r="B84" s="547"/>
      <c r="C84" s="533"/>
      <c r="E84" s="538"/>
      <c r="F84" s="561"/>
      <c r="G84" s="540"/>
      <c r="H84" s="541"/>
      <c r="I84" s="542"/>
      <c r="J84" s="542"/>
      <c r="K84" s="542"/>
      <c r="L84" s="542"/>
      <c r="M84" s="541"/>
      <c r="N84" s="564"/>
      <c r="O84" s="544"/>
      <c r="P84" s="545"/>
      <c r="Q84" s="545"/>
      <c r="R84" s="545"/>
      <c r="S84" s="536"/>
    </row>
    <row r="85" spans="1:19" x14ac:dyDescent="0.2">
      <c r="A85" s="538"/>
      <c r="B85" s="547" t="s">
        <v>227</v>
      </c>
      <c r="C85" s="533">
        <f>SUMIF($D$4:$D$51,"1102",$P$4:$P$51)</f>
        <v>6298.23</v>
      </c>
      <c r="D85" s="523">
        <f>ROUND(C85*23.8%,2)</f>
        <v>1498.98</v>
      </c>
      <c r="E85" s="538"/>
      <c r="F85" s="550"/>
      <c r="G85" s="540"/>
      <c r="H85" s="541"/>
      <c r="I85" s="542"/>
      <c r="J85" s="542"/>
      <c r="K85" s="542"/>
      <c r="L85" s="542"/>
      <c r="M85" s="541"/>
      <c r="N85" s="564"/>
      <c r="O85" s="544"/>
      <c r="P85" s="545"/>
      <c r="Q85" s="545"/>
      <c r="R85" s="545"/>
      <c r="S85" s="536"/>
    </row>
    <row r="86" spans="1:19" x14ac:dyDescent="0.2">
      <c r="A86" s="538"/>
      <c r="B86" s="547" t="s">
        <v>226</v>
      </c>
      <c r="C86" s="539"/>
      <c r="D86" s="523">
        <f>(C86*23.8%)</f>
        <v>0</v>
      </c>
      <c r="E86" s="538"/>
      <c r="F86" s="550"/>
      <c r="G86" s="540"/>
      <c r="H86" s="541"/>
      <c r="I86" s="542"/>
      <c r="J86" s="542"/>
      <c r="K86" s="542"/>
      <c r="L86" s="542"/>
      <c r="M86" s="541"/>
      <c r="N86" s="564"/>
      <c r="O86" s="544"/>
      <c r="P86" s="545"/>
      <c r="Q86" s="545"/>
      <c r="R86" s="545"/>
      <c r="S86" s="536"/>
    </row>
    <row r="87" spans="1:19" s="597" customFormat="1" x14ac:dyDescent="0.2">
      <c r="A87" s="524"/>
      <c r="B87" s="523" t="s">
        <v>227</v>
      </c>
      <c r="C87" s="567"/>
      <c r="D87" s="567">
        <f>SUM(D85:D86)</f>
        <v>1498.98</v>
      </c>
      <c r="E87" s="567"/>
      <c r="F87" s="523"/>
      <c r="G87" s="523"/>
      <c r="H87" s="523"/>
      <c r="I87" s="523"/>
      <c r="J87" s="523"/>
      <c r="K87" s="523"/>
      <c r="L87" s="523"/>
      <c r="M87" s="574"/>
      <c r="N87" s="546"/>
      <c r="O87" s="523"/>
      <c r="P87" s="578"/>
      <c r="Q87" s="578"/>
      <c r="R87" s="595"/>
      <c r="S87" s="596"/>
    </row>
    <row r="88" spans="1:19" s="597" customFormat="1" x14ac:dyDescent="0.2">
      <c r="A88" s="523"/>
      <c r="B88" s="523"/>
      <c r="C88" s="567"/>
      <c r="D88" s="567"/>
      <c r="E88" s="567"/>
      <c r="F88" s="523"/>
      <c r="G88" s="523"/>
      <c r="H88" s="523"/>
      <c r="I88" s="523"/>
      <c r="J88" s="523"/>
      <c r="K88" s="523"/>
      <c r="L88" s="523"/>
      <c r="M88" s="574"/>
      <c r="N88" s="523"/>
      <c r="O88" s="523"/>
      <c r="P88" s="578"/>
      <c r="Q88" s="578"/>
      <c r="R88" s="595"/>
      <c r="S88" s="596"/>
    </row>
    <row r="89" spans="1:19" x14ac:dyDescent="0.2">
      <c r="A89" s="523" t="s">
        <v>114</v>
      </c>
      <c r="B89" s="597"/>
      <c r="C89" s="598"/>
      <c r="D89" s="599"/>
      <c r="E89" s="598"/>
    </row>
    <row r="90" spans="1:19" x14ac:dyDescent="0.2">
      <c r="A90" s="597"/>
      <c r="B90" s="597"/>
      <c r="C90" s="598"/>
      <c r="D90" s="598"/>
      <c r="E90" s="598"/>
    </row>
    <row r="91" spans="1:19" x14ac:dyDescent="0.2">
      <c r="A91" s="597"/>
      <c r="B91" s="597">
        <v>1103</v>
      </c>
      <c r="C91" s="598">
        <f>C81+C85</f>
        <v>15744.340000000002</v>
      </c>
      <c r="D91" s="598"/>
      <c r="E91" s="598"/>
    </row>
    <row r="92" spans="1:19" x14ac:dyDescent="0.2">
      <c r="A92" s="597"/>
      <c r="B92" s="523">
        <v>1101</v>
      </c>
      <c r="C92" s="527">
        <f>D83</f>
        <v>2248.17</v>
      </c>
      <c r="D92" s="567"/>
      <c r="E92" s="567"/>
    </row>
    <row r="93" spans="1:19" x14ac:dyDescent="0.2">
      <c r="B93" s="523">
        <v>1102</v>
      </c>
      <c r="C93" s="523">
        <f>D87</f>
        <v>1498.98</v>
      </c>
    </row>
  </sheetData>
  <sortState xmlns:xlrd2="http://schemas.microsoft.com/office/spreadsheetml/2017/richdata2" ref="A3:S55">
    <sortCondition ref="A3:A55"/>
  </sortState>
  <mergeCells count="1">
    <mergeCell ref="A58:C58"/>
  </mergeCells>
  <phoneticPr fontId="7" type="noConversion"/>
  <printOptions gridLines="1"/>
  <pageMargins left="0" right="0" top="0.31496062992125984" bottom="0.51181102362204722" header="0.51181102362204722" footer="0.1574803149606299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49"/>
  <sheetViews>
    <sheetView showGridLines="0" zoomScale="95" zoomScaleNormal="95" zoomScaleSheetLayoutView="100" workbookViewId="0">
      <pane xSplit="4" ySplit="3" topLeftCell="Q90" activePane="bottomRight" state="frozen"/>
      <selection pane="topRight" activeCell="E1" sqref="E1"/>
      <selection pane="bottomLeft" activeCell="A4" sqref="A4"/>
      <selection pane="bottomRight" activeCell="W105" sqref="W105:X105"/>
    </sheetView>
  </sheetViews>
  <sheetFormatPr defaultColWidth="9.140625" defaultRowHeight="12.75" x14ac:dyDescent="0.2"/>
  <cols>
    <col min="1" max="1" width="7.28515625" style="271" customWidth="1"/>
    <col min="2" max="2" width="14.85546875" style="271" customWidth="1"/>
    <col min="3" max="3" width="13.140625" style="271" bestFit="1" customWidth="1"/>
    <col min="4" max="4" width="11.42578125" style="271" customWidth="1"/>
    <col min="5" max="5" width="10.7109375" customWidth="1"/>
    <col min="6" max="6" width="16.28515625" style="271" customWidth="1"/>
    <col min="7" max="7" width="5.85546875" style="327" customWidth="1"/>
    <col min="8" max="8" width="15.140625" style="271" customWidth="1"/>
    <col min="9" max="9" width="8.28515625" style="271" customWidth="1"/>
    <col min="10" max="11" width="8.42578125" style="271" customWidth="1"/>
    <col min="12" max="12" width="8.28515625" style="271" customWidth="1"/>
    <col min="13" max="13" width="11.42578125" style="271" customWidth="1"/>
    <col min="14" max="14" width="9" style="324" customWidth="1"/>
    <col min="15" max="15" width="13.7109375" style="325" customWidth="1"/>
    <col min="16" max="16" width="15.140625" style="329" customWidth="1"/>
    <col min="17" max="17" width="7.42578125" style="284" customWidth="1"/>
    <col min="18" max="18" width="9.85546875" style="271" customWidth="1"/>
    <col min="19" max="19" width="9.42578125" style="271" customWidth="1"/>
    <col min="20" max="21" width="11.42578125" style="285" customWidth="1"/>
    <col min="22" max="23" width="12.140625" style="285" customWidth="1"/>
    <col min="24" max="24" width="15.140625" style="285" customWidth="1"/>
    <col min="25" max="25" width="15.140625" style="285" bestFit="1" customWidth="1"/>
    <col min="26" max="16384" width="9.140625" style="271"/>
  </cols>
  <sheetData>
    <row r="1" spans="1:25" x14ac:dyDescent="0.2">
      <c r="A1" s="701" t="s">
        <v>353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283"/>
    </row>
    <row r="2" spans="1:25" ht="105" x14ac:dyDescent="0.2">
      <c r="A2" s="274" t="s">
        <v>134</v>
      </c>
      <c r="B2" s="280" t="s">
        <v>27</v>
      </c>
      <c r="C2" s="280" t="s">
        <v>28</v>
      </c>
      <c r="D2" s="280" t="s">
        <v>29</v>
      </c>
      <c r="E2" s="26" t="s">
        <v>123</v>
      </c>
      <c r="F2" s="280" t="s">
        <v>30</v>
      </c>
      <c r="G2" s="297" t="s">
        <v>31</v>
      </c>
      <c r="H2" s="280" t="s">
        <v>32</v>
      </c>
      <c r="I2" s="274" t="s">
        <v>33</v>
      </c>
      <c r="J2" s="280" t="s">
        <v>116</v>
      </c>
      <c r="K2" s="274" t="s">
        <v>284</v>
      </c>
      <c r="L2" s="274" t="s">
        <v>120</v>
      </c>
      <c r="M2" s="274" t="s">
        <v>121</v>
      </c>
      <c r="N2" s="274" t="s">
        <v>256</v>
      </c>
      <c r="O2" s="274" t="s">
        <v>180</v>
      </c>
      <c r="P2" s="298" t="s">
        <v>118</v>
      </c>
      <c r="Q2" s="299" t="s">
        <v>235</v>
      </c>
      <c r="R2" s="300" t="s">
        <v>236</v>
      </c>
      <c r="S2" s="300" t="s">
        <v>285</v>
      </c>
      <c r="T2" s="274" t="s">
        <v>260</v>
      </c>
      <c r="U2" s="274" t="s">
        <v>266</v>
      </c>
      <c r="V2" s="274" t="s">
        <v>237</v>
      </c>
      <c r="W2" s="274" t="s">
        <v>179</v>
      </c>
      <c r="X2" s="274" t="s">
        <v>181</v>
      </c>
      <c r="Y2" s="285" t="s">
        <v>11</v>
      </c>
    </row>
    <row r="3" spans="1:25" x14ac:dyDescent="0.2">
      <c r="A3" s="280"/>
      <c r="B3" s="275"/>
      <c r="C3" s="275"/>
      <c r="F3" s="275"/>
      <c r="G3" s="301"/>
      <c r="H3" s="280" t="s">
        <v>36</v>
      </c>
      <c r="I3" s="280"/>
      <c r="J3" s="302"/>
      <c r="K3" s="302"/>
      <c r="L3" s="302"/>
      <c r="M3" s="302"/>
      <c r="N3" s="303"/>
      <c r="O3" s="302"/>
      <c r="P3" s="304"/>
      <c r="Q3" s="278"/>
      <c r="R3" s="305"/>
      <c r="S3" s="305"/>
      <c r="T3" s="303"/>
      <c r="U3" s="303"/>
      <c r="V3" s="303"/>
      <c r="W3" s="303"/>
      <c r="X3" s="303"/>
      <c r="Y3" s="303"/>
    </row>
    <row r="4" spans="1:25" x14ac:dyDescent="0.2">
      <c r="A4" s="276">
        <v>1</v>
      </c>
      <c r="B4" s="265" t="s">
        <v>363</v>
      </c>
      <c r="C4" s="265" t="s">
        <v>64</v>
      </c>
      <c r="D4" s="271">
        <v>1101</v>
      </c>
      <c r="E4" s="21" t="s">
        <v>124</v>
      </c>
      <c r="F4" s="275" t="s">
        <v>169</v>
      </c>
      <c r="G4" s="301" t="s">
        <v>37</v>
      </c>
      <c r="H4" s="282" t="s">
        <v>377</v>
      </c>
      <c r="I4" s="282">
        <f>VLOOKUP(G4,tabella3,2)</f>
        <v>0.70850000000000002</v>
      </c>
      <c r="J4" s="277">
        <v>1</v>
      </c>
      <c r="K4" s="306">
        <v>1</v>
      </c>
      <c r="L4" s="306">
        <v>1</v>
      </c>
      <c r="M4" s="277">
        <f>ROUND((16+31+30+31+31+30+31+30+31)/365*260,0)</f>
        <v>186</v>
      </c>
      <c r="N4" s="277"/>
      <c r="O4" s="277"/>
      <c r="P4" s="304">
        <f>IF(E4="GRUPPO",M4-O4,M4)</f>
        <v>186</v>
      </c>
      <c r="Q4" s="278">
        <v>1</v>
      </c>
      <c r="R4" s="307">
        <f>ROUND(IF((M4)&lt;100,0,L4*I4*J4*P4/260*Q4),5)</f>
        <v>0.50685000000000002</v>
      </c>
      <c r="S4" s="307">
        <f>ROUND(IF(M4&lt;100,0,K4*I4*J4*P4/260*Q4),5)</f>
        <v>0.50685000000000002</v>
      </c>
      <c r="T4" s="269">
        <f t="shared" ref="T4:T35" si="0">ROUND($D$107*S4,2)</f>
        <v>472.52</v>
      </c>
      <c r="U4" s="269">
        <f t="shared" ref="U4:U35" si="1">ROUND($D$107*R4,2)</f>
        <v>472.52</v>
      </c>
      <c r="V4" s="269"/>
      <c r="W4" s="269">
        <f t="shared" ref="W4:W29" si="2">ROUND(T4/M4*V4,2)</f>
        <v>0</v>
      </c>
      <c r="X4" s="644">
        <f>U4-W4</f>
        <v>472.52</v>
      </c>
      <c r="Y4" s="644"/>
    </row>
    <row r="5" spans="1:25" s="310" customFormat="1" x14ac:dyDescent="0.2">
      <c r="A5" s="308"/>
      <c r="B5" s="321" t="s">
        <v>363</v>
      </c>
      <c r="C5" s="321" t="s">
        <v>64</v>
      </c>
      <c r="D5" s="310">
        <v>1101</v>
      </c>
      <c r="E5" s="638" t="s">
        <v>152</v>
      </c>
      <c r="F5" s="309" t="s">
        <v>169</v>
      </c>
      <c r="G5" s="312" t="s">
        <v>37</v>
      </c>
      <c r="H5" s="313" t="s">
        <v>377</v>
      </c>
      <c r="I5" s="313">
        <f t="shared" ref="I5:I29" si="3">VLOOKUP(G5,tabella3,2)</f>
        <v>0.70850000000000002</v>
      </c>
      <c r="J5" s="314">
        <v>1</v>
      </c>
      <c r="K5" s="315">
        <v>1</v>
      </c>
      <c r="L5" s="315">
        <v>1</v>
      </c>
      <c r="M5" s="314">
        <v>186</v>
      </c>
      <c r="N5" s="314"/>
      <c r="O5" s="314"/>
      <c r="P5" s="316">
        <f t="shared" ref="P5:P29" si="4">IF(E5="GRUPPO",M5-O5,M5)</f>
        <v>186</v>
      </c>
      <c r="Q5" s="317">
        <v>1</v>
      </c>
      <c r="R5" s="318">
        <f>ROUND(IF((M5)&lt;100,0,L5*I5*J5*P5/260*Q5),5)</f>
        <v>0.50685000000000002</v>
      </c>
      <c r="S5" s="318">
        <f>ROUND(IF(M5&lt;100,0,K5*I5*J5*P5/260*Q5),5)</f>
        <v>0.50685000000000002</v>
      </c>
      <c r="T5" s="319">
        <f t="shared" si="0"/>
        <v>472.52</v>
      </c>
      <c r="U5" s="319">
        <f t="shared" si="1"/>
        <v>472.52</v>
      </c>
      <c r="V5" s="319"/>
      <c r="W5" s="319">
        <f t="shared" si="2"/>
        <v>0</v>
      </c>
      <c r="X5" s="646">
        <f t="shared" ref="X5:X41" si="5">U5-W5</f>
        <v>472.52</v>
      </c>
      <c r="Y5" s="646">
        <f>X4+X5</f>
        <v>945.04</v>
      </c>
    </row>
    <row r="6" spans="1:25" x14ac:dyDescent="0.2">
      <c r="A6" s="276">
        <v>2</v>
      </c>
      <c r="B6" s="275" t="s">
        <v>160</v>
      </c>
      <c r="C6" s="275" t="s">
        <v>161</v>
      </c>
      <c r="D6" s="271">
        <v>1101</v>
      </c>
      <c r="E6" s="21" t="s">
        <v>124</v>
      </c>
      <c r="F6" s="265" t="s">
        <v>300</v>
      </c>
      <c r="G6" s="322" t="s">
        <v>44</v>
      </c>
      <c r="H6" s="282"/>
      <c r="I6" s="282">
        <f>VLOOKUP(G6,tabella3,2)</f>
        <v>0.79930000000000001</v>
      </c>
      <c r="J6" s="277">
        <v>1</v>
      </c>
      <c r="K6" s="306">
        <v>1</v>
      </c>
      <c r="L6" s="306">
        <v>1</v>
      </c>
      <c r="M6" s="277">
        <v>260</v>
      </c>
      <c r="N6" s="277">
        <v>5</v>
      </c>
      <c r="O6" s="277">
        <v>5</v>
      </c>
      <c r="P6" s="304">
        <f>IF(E6="GRUPPO",M6-O6,M6)</f>
        <v>255</v>
      </c>
      <c r="Q6" s="278">
        <v>1</v>
      </c>
      <c r="R6" s="307">
        <f>ROUND(IF((M6+M5)&lt;100,0,L6*I6*J6*P6/260*Q6),5)</f>
        <v>0.78393000000000002</v>
      </c>
      <c r="S6" s="307">
        <f>ROUND(IF((M6+M5)&lt;100,0,K6*I6*J6*P6/260*Q6),5)</f>
        <v>0.78393000000000002</v>
      </c>
      <c r="T6" s="269">
        <f t="shared" si="0"/>
        <v>730.83</v>
      </c>
      <c r="U6" s="269">
        <f t="shared" si="1"/>
        <v>730.83</v>
      </c>
      <c r="V6" s="269">
        <v>5</v>
      </c>
      <c r="W6" s="269">
        <f>ROUND(T6/M6*V6,2)</f>
        <v>14.05</v>
      </c>
      <c r="X6" s="644">
        <f>U6-W6</f>
        <v>716.78000000000009</v>
      </c>
      <c r="Y6" s="644"/>
    </row>
    <row r="7" spans="1:25" s="310" customFormat="1" x14ac:dyDescent="0.2">
      <c r="A7" s="308"/>
      <c r="B7" s="309" t="s">
        <v>160</v>
      </c>
      <c r="C7" s="309" t="s">
        <v>161</v>
      </c>
      <c r="D7" s="310">
        <v>1101</v>
      </c>
      <c r="E7" s="402" t="s">
        <v>124</v>
      </c>
      <c r="F7" s="321" t="s">
        <v>300</v>
      </c>
      <c r="G7" s="323" t="s">
        <v>44</v>
      </c>
      <c r="H7" s="313"/>
      <c r="I7" s="313">
        <f>VLOOKUP(G7,tabella3,2)</f>
        <v>0.79930000000000001</v>
      </c>
      <c r="J7" s="314">
        <v>1</v>
      </c>
      <c r="K7" s="315">
        <v>1</v>
      </c>
      <c r="L7" s="315">
        <v>1</v>
      </c>
      <c r="M7" s="314">
        <v>260</v>
      </c>
      <c r="N7" s="314">
        <v>5</v>
      </c>
      <c r="O7" s="314">
        <v>5</v>
      </c>
      <c r="P7" s="316">
        <f>IF(E7="GRUPPO",M7-O7,M7)</f>
        <v>255</v>
      </c>
      <c r="Q7" s="317">
        <v>1</v>
      </c>
      <c r="R7" s="318">
        <f>ROUND(IF((M7+M5)&lt;100,0,L7*I7*J7*P7/260*Q7),5)</f>
        <v>0.78393000000000002</v>
      </c>
      <c r="S7" s="318">
        <f>ROUND(IF((M7+M5)&lt;100,0,K7*I7*J7*P7/260*Q7),5)</f>
        <v>0.78393000000000002</v>
      </c>
      <c r="T7" s="319">
        <f t="shared" si="0"/>
        <v>730.83</v>
      </c>
      <c r="U7" s="319">
        <f t="shared" si="1"/>
        <v>730.83</v>
      </c>
      <c r="V7" s="319">
        <v>5</v>
      </c>
      <c r="W7" s="319">
        <f>ROUND(T7/M7*V7,2)</f>
        <v>14.05</v>
      </c>
      <c r="X7" s="646">
        <f>U7-W7</f>
        <v>716.78000000000009</v>
      </c>
      <c r="Y7" s="646">
        <f>SUM(X6:X7)</f>
        <v>1433.5600000000002</v>
      </c>
    </row>
    <row r="8" spans="1:25" x14ac:dyDescent="0.2">
      <c r="A8" s="276">
        <v>3</v>
      </c>
      <c r="B8" s="265" t="s">
        <v>42</v>
      </c>
      <c r="C8" s="265" t="s">
        <v>43</v>
      </c>
      <c r="D8" s="271">
        <v>1102</v>
      </c>
      <c r="E8" s="21" t="s">
        <v>152</v>
      </c>
      <c r="F8" s="275" t="s">
        <v>40</v>
      </c>
      <c r="G8" s="301" t="s">
        <v>41</v>
      </c>
      <c r="H8" s="282"/>
      <c r="I8" s="282">
        <f t="shared" si="3"/>
        <v>0.749</v>
      </c>
      <c r="J8" s="277">
        <v>1</v>
      </c>
      <c r="K8" s="306">
        <v>1</v>
      </c>
      <c r="L8" s="306">
        <v>1</v>
      </c>
      <c r="M8" s="277">
        <v>260</v>
      </c>
      <c r="N8" s="277"/>
      <c r="O8" s="277"/>
      <c r="P8" s="304">
        <f t="shared" si="4"/>
        <v>260</v>
      </c>
      <c r="Q8" s="278">
        <v>1</v>
      </c>
      <c r="R8" s="307">
        <f>ROUND(IF((M8)&lt;100,0,L8*I8*J8*P8/260*Q8),5)</f>
        <v>0.749</v>
      </c>
      <c r="S8" s="307">
        <f>ROUND(IF(M8&lt;100,0,K8*I8*J8*P8/260*Q8),5)</f>
        <v>0.749</v>
      </c>
      <c r="T8" s="269">
        <f t="shared" si="0"/>
        <v>698.27</v>
      </c>
      <c r="U8" s="269">
        <f t="shared" si="1"/>
        <v>698.27</v>
      </c>
      <c r="V8" s="269"/>
      <c r="W8" s="269">
        <f t="shared" si="2"/>
        <v>0</v>
      </c>
      <c r="X8" s="644">
        <f t="shared" si="5"/>
        <v>698.27</v>
      </c>
      <c r="Y8" s="644"/>
    </row>
    <row r="9" spans="1:25" s="310" customFormat="1" x14ac:dyDescent="0.2">
      <c r="A9" s="308"/>
      <c r="B9" s="309" t="s">
        <v>42</v>
      </c>
      <c r="C9" s="309" t="s">
        <v>43</v>
      </c>
      <c r="D9" s="310">
        <v>1102</v>
      </c>
      <c r="E9" s="638" t="s">
        <v>124</v>
      </c>
      <c r="F9" s="309" t="s">
        <v>40</v>
      </c>
      <c r="G9" s="312" t="s">
        <v>41</v>
      </c>
      <c r="H9" s="313"/>
      <c r="I9" s="313">
        <f t="shared" si="3"/>
        <v>0.749</v>
      </c>
      <c r="J9" s="314">
        <v>1</v>
      </c>
      <c r="K9" s="315">
        <v>1</v>
      </c>
      <c r="L9" s="315">
        <v>1</v>
      </c>
      <c r="M9" s="314">
        <v>260</v>
      </c>
      <c r="N9" s="314"/>
      <c r="O9" s="314"/>
      <c r="P9" s="316">
        <f t="shared" si="4"/>
        <v>260</v>
      </c>
      <c r="Q9" s="317">
        <v>1</v>
      </c>
      <c r="R9" s="318">
        <f>ROUND(IF((M8)&lt;100,0,L9*I9*J9*P9/260*Q9),5)</f>
        <v>0.749</v>
      </c>
      <c r="S9" s="318">
        <f t="shared" ref="S9:S50" si="6">ROUND(IF(M9&lt;100,0,K9*I9*J9*P9/260*Q9),5)</f>
        <v>0.749</v>
      </c>
      <c r="T9" s="319">
        <f t="shared" si="0"/>
        <v>698.27</v>
      </c>
      <c r="U9" s="319">
        <f t="shared" si="1"/>
        <v>698.27</v>
      </c>
      <c r="V9" s="319"/>
      <c r="W9" s="319">
        <f t="shared" si="2"/>
        <v>0</v>
      </c>
      <c r="X9" s="646">
        <f t="shared" si="5"/>
        <v>698.27</v>
      </c>
      <c r="Y9" s="646">
        <f>SUM(X8:X9)</f>
        <v>1396.54</v>
      </c>
    </row>
    <row r="10" spans="1:25" x14ac:dyDescent="0.2">
      <c r="A10" s="276">
        <v>4</v>
      </c>
      <c r="B10" s="275" t="s">
        <v>48</v>
      </c>
      <c r="C10" s="275" t="s">
        <v>49</v>
      </c>
      <c r="D10" s="271">
        <v>1102</v>
      </c>
      <c r="E10" s="632" t="s">
        <v>152</v>
      </c>
      <c r="F10" s="275" t="s">
        <v>40</v>
      </c>
      <c r="G10" s="301" t="s">
        <v>41</v>
      </c>
      <c r="H10" s="282"/>
      <c r="I10" s="282">
        <f t="shared" si="3"/>
        <v>0.749</v>
      </c>
      <c r="J10" s="277">
        <v>1</v>
      </c>
      <c r="K10" s="306">
        <v>1</v>
      </c>
      <c r="L10" s="306">
        <v>1</v>
      </c>
      <c r="M10" s="277">
        <v>260</v>
      </c>
      <c r="N10" s="277">
        <v>4</v>
      </c>
      <c r="O10" s="277">
        <v>4</v>
      </c>
      <c r="P10" s="304">
        <f t="shared" si="4"/>
        <v>260</v>
      </c>
      <c r="Q10" s="278">
        <v>0.5</v>
      </c>
      <c r="R10" s="307">
        <f t="shared" ref="R10:R24" si="7">ROUND(IF(M10&lt;100,0,L10*I10*J10*P10/260*Q10),5)</f>
        <v>0.3745</v>
      </c>
      <c r="S10" s="307">
        <f t="shared" si="6"/>
        <v>0.3745</v>
      </c>
      <c r="T10" s="269">
        <f t="shared" si="0"/>
        <v>349.13</v>
      </c>
      <c r="U10" s="269">
        <f t="shared" si="1"/>
        <v>349.13</v>
      </c>
      <c r="V10" s="269">
        <v>4</v>
      </c>
      <c r="W10" s="269">
        <f t="shared" si="2"/>
        <v>5.37</v>
      </c>
      <c r="X10" s="644">
        <f t="shared" si="5"/>
        <v>343.76</v>
      </c>
      <c r="Y10" s="644"/>
    </row>
    <row r="11" spans="1:25" x14ac:dyDescent="0.2">
      <c r="A11" s="276"/>
      <c r="B11" s="275" t="s">
        <v>48</v>
      </c>
      <c r="C11" s="275" t="s">
        <v>49</v>
      </c>
      <c r="D11" s="271">
        <v>1102</v>
      </c>
      <c r="E11" s="632" t="s">
        <v>152</v>
      </c>
      <c r="F11" s="275" t="s">
        <v>40</v>
      </c>
      <c r="G11" s="301" t="s">
        <v>41</v>
      </c>
      <c r="H11" s="282"/>
      <c r="I11" s="282">
        <f t="shared" si="3"/>
        <v>0.749</v>
      </c>
      <c r="J11" s="277">
        <v>1</v>
      </c>
      <c r="K11" s="306">
        <v>1</v>
      </c>
      <c r="L11" s="306">
        <v>1</v>
      </c>
      <c r="M11" s="277">
        <v>260</v>
      </c>
      <c r="N11" s="277"/>
      <c r="O11" s="277"/>
      <c r="P11" s="304">
        <f t="shared" si="4"/>
        <v>260</v>
      </c>
      <c r="Q11" s="278">
        <v>0.5</v>
      </c>
      <c r="R11" s="307">
        <f t="shared" si="7"/>
        <v>0.3745</v>
      </c>
      <c r="S11" s="307">
        <f t="shared" si="6"/>
        <v>0.3745</v>
      </c>
      <c r="T11" s="269">
        <f t="shared" si="0"/>
        <v>349.13</v>
      </c>
      <c r="U11" s="269">
        <f t="shared" si="1"/>
        <v>349.13</v>
      </c>
      <c r="V11" s="269"/>
      <c r="W11" s="269">
        <f t="shared" si="2"/>
        <v>0</v>
      </c>
      <c r="X11" s="644">
        <f t="shared" si="5"/>
        <v>349.13</v>
      </c>
      <c r="Y11" s="644"/>
    </row>
    <row r="12" spans="1:25" x14ac:dyDescent="0.2">
      <c r="A12" s="276"/>
      <c r="B12" s="275" t="s">
        <v>48</v>
      </c>
      <c r="C12" s="275" t="s">
        <v>49</v>
      </c>
      <c r="D12" s="271">
        <v>1101</v>
      </c>
      <c r="E12" s="632" t="s">
        <v>152</v>
      </c>
      <c r="F12" s="275" t="s">
        <v>40</v>
      </c>
      <c r="G12" s="301" t="s">
        <v>41</v>
      </c>
      <c r="H12" s="282"/>
      <c r="I12" s="282">
        <f t="shared" si="3"/>
        <v>0.749</v>
      </c>
      <c r="J12" s="277">
        <v>1</v>
      </c>
      <c r="K12" s="306">
        <v>1</v>
      </c>
      <c r="L12" s="306">
        <v>1</v>
      </c>
      <c r="M12" s="277">
        <v>260</v>
      </c>
      <c r="N12" s="277">
        <v>4</v>
      </c>
      <c r="O12" s="277">
        <v>4</v>
      </c>
      <c r="P12" s="304">
        <f t="shared" si="4"/>
        <v>260</v>
      </c>
      <c r="Q12" s="278">
        <v>0.5</v>
      </c>
      <c r="R12" s="307">
        <f t="shared" si="7"/>
        <v>0.3745</v>
      </c>
      <c r="S12" s="307">
        <f t="shared" si="6"/>
        <v>0.3745</v>
      </c>
      <c r="T12" s="269">
        <f t="shared" si="0"/>
        <v>349.13</v>
      </c>
      <c r="U12" s="269">
        <f t="shared" si="1"/>
        <v>349.13</v>
      </c>
      <c r="V12" s="269">
        <v>4</v>
      </c>
      <c r="W12" s="269">
        <f t="shared" si="2"/>
        <v>5.37</v>
      </c>
      <c r="X12" s="644">
        <f t="shared" si="5"/>
        <v>343.76</v>
      </c>
      <c r="Y12" s="644"/>
    </row>
    <row r="13" spans="1:25" s="310" customFormat="1" x14ac:dyDescent="0.2">
      <c r="A13" s="308"/>
      <c r="B13" s="309" t="s">
        <v>48</v>
      </c>
      <c r="C13" s="309" t="s">
        <v>49</v>
      </c>
      <c r="D13" s="310">
        <v>1101</v>
      </c>
      <c r="E13" s="638" t="s">
        <v>152</v>
      </c>
      <c r="F13" s="309" t="s">
        <v>40</v>
      </c>
      <c r="G13" s="312" t="s">
        <v>41</v>
      </c>
      <c r="H13" s="313"/>
      <c r="I13" s="313">
        <f t="shared" si="3"/>
        <v>0.749</v>
      </c>
      <c r="J13" s="314">
        <v>1</v>
      </c>
      <c r="K13" s="315">
        <v>1</v>
      </c>
      <c r="L13" s="315">
        <v>1</v>
      </c>
      <c r="M13" s="314">
        <v>260</v>
      </c>
      <c r="N13" s="314"/>
      <c r="O13" s="314"/>
      <c r="P13" s="316">
        <f t="shared" si="4"/>
        <v>260</v>
      </c>
      <c r="Q13" s="317">
        <v>0.5</v>
      </c>
      <c r="R13" s="318">
        <f t="shared" si="7"/>
        <v>0.3745</v>
      </c>
      <c r="S13" s="318">
        <f t="shared" si="6"/>
        <v>0.3745</v>
      </c>
      <c r="T13" s="319">
        <f t="shared" si="0"/>
        <v>349.13</v>
      </c>
      <c r="U13" s="319">
        <f t="shared" si="1"/>
        <v>349.13</v>
      </c>
      <c r="V13" s="319"/>
      <c r="W13" s="319">
        <f t="shared" si="2"/>
        <v>0</v>
      </c>
      <c r="X13" s="646">
        <f t="shared" si="5"/>
        <v>349.13</v>
      </c>
      <c r="Y13" s="646">
        <f>SUM(X10:X13)</f>
        <v>1385.7800000000002</v>
      </c>
    </row>
    <row r="14" spans="1:25" ht="13.5" customHeight="1" x14ac:dyDescent="0.2">
      <c r="A14" s="276">
        <v>5</v>
      </c>
      <c r="B14" s="275" t="s">
        <v>57</v>
      </c>
      <c r="C14" s="275" t="s">
        <v>58</v>
      </c>
      <c r="D14" s="271">
        <v>1102</v>
      </c>
      <c r="E14" s="632" t="s">
        <v>124</v>
      </c>
      <c r="F14" s="275" t="s">
        <v>59</v>
      </c>
      <c r="G14" s="301" t="s">
        <v>41</v>
      </c>
      <c r="H14" s="282"/>
      <c r="I14" s="282">
        <f t="shared" si="3"/>
        <v>0.749</v>
      </c>
      <c r="J14" s="277">
        <v>1</v>
      </c>
      <c r="K14" s="306">
        <v>1</v>
      </c>
      <c r="L14" s="306">
        <v>1</v>
      </c>
      <c r="M14" s="277">
        <v>260</v>
      </c>
      <c r="N14" s="277">
        <v>9</v>
      </c>
      <c r="O14" s="277">
        <v>9</v>
      </c>
      <c r="P14" s="304">
        <f t="shared" si="4"/>
        <v>251</v>
      </c>
      <c r="Q14" s="278">
        <v>1</v>
      </c>
      <c r="R14" s="307">
        <f t="shared" si="7"/>
        <v>0.72306999999999999</v>
      </c>
      <c r="S14" s="307">
        <f t="shared" si="6"/>
        <v>0.72306999999999999</v>
      </c>
      <c r="T14" s="269">
        <f t="shared" si="0"/>
        <v>674.09</v>
      </c>
      <c r="U14" s="269">
        <f t="shared" si="1"/>
        <v>674.09</v>
      </c>
      <c r="V14" s="269">
        <v>9</v>
      </c>
      <c r="W14" s="269">
        <f t="shared" si="2"/>
        <v>23.33</v>
      </c>
      <c r="X14" s="644">
        <f t="shared" si="5"/>
        <v>650.76</v>
      </c>
      <c r="Y14" s="644"/>
    </row>
    <row r="15" spans="1:25" s="310" customFormat="1" x14ac:dyDescent="0.2">
      <c r="A15" s="308"/>
      <c r="B15" s="309" t="s">
        <v>57</v>
      </c>
      <c r="C15" s="309" t="s">
        <v>58</v>
      </c>
      <c r="D15" s="310">
        <v>1102</v>
      </c>
      <c r="E15" s="402" t="s">
        <v>124</v>
      </c>
      <c r="F15" s="309" t="s">
        <v>59</v>
      </c>
      <c r="G15" s="312" t="s">
        <v>41</v>
      </c>
      <c r="H15" s="313"/>
      <c r="I15" s="313">
        <f t="shared" si="3"/>
        <v>0.749</v>
      </c>
      <c r="J15" s="314">
        <v>1</v>
      </c>
      <c r="K15" s="315">
        <v>1</v>
      </c>
      <c r="L15" s="315">
        <v>1</v>
      </c>
      <c r="M15" s="314">
        <v>260</v>
      </c>
      <c r="N15" s="314">
        <v>9</v>
      </c>
      <c r="O15" s="314">
        <v>9</v>
      </c>
      <c r="P15" s="316">
        <f t="shared" si="4"/>
        <v>251</v>
      </c>
      <c r="Q15" s="317">
        <v>1</v>
      </c>
      <c r="R15" s="318">
        <f t="shared" si="7"/>
        <v>0.72306999999999999</v>
      </c>
      <c r="S15" s="318">
        <f t="shared" si="6"/>
        <v>0.72306999999999999</v>
      </c>
      <c r="T15" s="319">
        <f t="shared" si="0"/>
        <v>674.09</v>
      </c>
      <c r="U15" s="319">
        <f t="shared" si="1"/>
        <v>674.09</v>
      </c>
      <c r="V15" s="319">
        <v>9</v>
      </c>
      <c r="W15" s="319">
        <f t="shared" si="2"/>
        <v>23.33</v>
      </c>
      <c r="X15" s="646">
        <f t="shared" si="5"/>
        <v>650.76</v>
      </c>
      <c r="Y15" s="646">
        <f>SUM(X14:X15)</f>
        <v>1301.52</v>
      </c>
    </row>
    <row r="16" spans="1:25" ht="13.5" customHeight="1" x14ac:dyDescent="0.2">
      <c r="A16" s="276">
        <v>6</v>
      </c>
      <c r="B16" s="275" t="s">
        <v>60</v>
      </c>
      <c r="C16" s="275" t="s">
        <v>61</v>
      </c>
      <c r="D16" s="271">
        <v>1101</v>
      </c>
      <c r="E16" s="21" t="s">
        <v>124</v>
      </c>
      <c r="F16" s="275" t="s">
        <v>62</v>
      </c>
      <c r="G16" s="301" t="s">
        <v>44</v>
      </c>
      <c r="H16" s="282"/>
      <c r="I16" s="282">
        <f t="shared" si="3"/>
        <v>0.79930000000000001</v>
      </c>
      <c r="J16" s="277">
        <v>1</v>
      </c>
      <c r="K16" s="306">
        <v>1</v>
      </c>
      <c r="L16" s="306">
        <v>1</v>
      </c>
      <c r="M16" s="277">
        <v>260</v>
      </c>
      <c r="N16" s="277">
        <v>2</v>
      </c>
      <c r="O16" s="277">
        <v>2</v>
      </c>
      <c r="P16" s="304">
        <f t="shared" si="4"/>
        <v>258</v>
      </c>
      <c r="Q16" s="278">
        <v>1</v>
      </c>
      <c r="R16" s="307">
        <f t="shared" si="7"/>
        <v>0.79315000000000002</v>
      </c>
      <c r="S16" s="307">
        <f t="shared" si="6"/>
        <v>0.79315000000000002</v>
      </c>
      <c r="T16" s="269">
        <f t="shared" si="0"/>
        <v>739.42</v>
      </c>
      <c r="U16" s="269">
        <f t="shared" si="1"/>
        <v>739.42</v>
      </c>
      <c r="V16" s="269">
        <v>2</v>
      </c>
      <c r="W16" s="269">
        <f>ROUND(T16/M16*V16,2)</f>
        <v>5.69</v>
      </c>
      <c r="X16" s="644">
        <f>U16-W16</f>
        <v>733.7299999999999</v>
      </c>
      <c r="Y16" s="644"/>
    </row>
    <row r="17" spans="1:25" s="310" customFormat="1" x14ac:dyDescent="0.2">
      <c r="A17" s="308"/>
      <c r="B17" s="309" t="s">
        <v>60</v>
      </c>
      <c r="C17" s="309" t="s">
        <v>61</v>
      </c>
      <c r="D17" s="310">
        <v>1101</v>
      </c>
      <c r="E17" s="402" t="s">
        <v>124</v>
      </c>
      <c r="F17" s="309" t="s">
        <v>62</v>
      </c>
      <c r="G17" s="312" t="s">
        <v>44</v>
      </c>
      <c r="H17" s="313"/>
      <c r="I17" s="313">
        <f t="shared" si="3"/>
        <v>0.79930000000000001</v>
      </c>
      <c r="J17" s="314">
        <v>1</v>
      </c>
      <c r="K17" s="315">
        <v>1</v>
      </c>
      <c r="L17" s="315">
        <v>1</v>
      </c>
      <c r="M17" s="314">
        <v>260</v>
      </c>
      <c r="N17" s="314">
        <v>2</v>
      </c>
      <c r="O17" s="314">
        <v>2</v>
      </c>
      <c r="P17" s="316">
        <f t="shared" si="4"/>
        <v>258</v>
      </c>
      <c r="Q17" s="317">
        <v>1</v>
      </c>
      <c r="R17" s="318">
        <f t="shared" si="7"/>
        <v>0.79315000000000002</v>
      </c>
      <c r="S17" s="318">
        <f t="shared" si="6"/>
        <v>0.79315000000000002</v>
      </c>
      <c r="T17" s="319">
        <f t="shared" si="0"/>
        <v>739.42</v>
      </c>
      <c r="U17" s="319">
        <f t="shared" si="1"/>
        <v>739.42</v>
      </c>
      <c r="V17" s="319">
        <v>2</v>
      </c>
      <c r="W17" s="319">
        <f t="shared" si="2"/>
        <v>5.69</v>
      </c>
      <c r="X17" s="646">
        <f t="shared" si="5"/>
        <v>733.7299999999999</v>
      </c>
      <c r="Y17" s="646">
        <f>SUM(X16:X17)</f>
        <v>1467.4599999999998</v>
      </c>
    </row>
    <row r="18" spans="1:25" ht="13.5" customHeight="1" x14ac:dyDescent="0.2">
      <c r="A18" s="276">
        <v>7</v>
      </c>
      <c r="B18" s="275" t="s">
        <v>45</v>
      </c>
      <c r="C18" s="275" t="s">
        <v>46</v>
      </c>
      <c r="D18" s="271">
        <v>1102</v>
      </c>
      <c r="E18" s="21" t="s">
        <v>152</v>
      </c>
      <c r="F18" s="275" t="s">
        <v>168</v>
      </c>
      <c r="G18" s="301" t="s">
        <v>44</v>
      </c>
      <c r="H18" s="282"/>
      <c r="I18" s="282">
        <f t="shared" si="3"/>
        <v>0.79930000000000001</v>
      </c>
      <c r="J18" s="277">
        <v>1</v>
      </c>
      <c r="K18" s="306">
        <v>1</v>
      </c>
      <c r="L18" s="306">
        <v>1</v>
      </c>
      <c r="M18" s="277">
        <v>260</v>
      </c>
      <c r="N18" s="277"/>
      <c r="O18" s="277"/>
      <c r="P18" s="304">
        <f t="shared" si="4"/>
        <v>260</v>
      </c>
      <c r="Q18" s="278">
        <v>1</v>
      </c>
      <c r="R18" s="307">
        <f t="shared" si="7"/>
        <v>0.79930000000000001</v>
      </c>
      <c r="S18" s="307">
        <f t="shared" si="6"/>
        <v>0.79930000000000001</v>
      </c>
      <c r="T18" s="269">
        <f t="shared" si="0"/>
        <v>745.16</v>
      </c>
      <c r="U18" s="269">
        <f t="shared" si="1"/>
        <v>745.16</v>
      </c>
      <c r="V18" s="269"/>
      <c r="W18" s="269">
        <f t="shared" si="2"/>
        <v>0</v>
      </c>
      <c r="X18" s="644">
        <f t="shared" si="5"/>
        <v>745.16</v>
      </c>
      <c r="Y18" s="644"/>
    </row>
    <row r="19" spans="1:25" s="310" customFormat="1" x14ac:dyDescent="0.2">
      <c r="A19" s="308"/>
      <c r="B19" s="309" t="s">
        <v>45</v>
      </c>
      <c r="C19" s="309" t="s">
        <v>46</v>
      </c>
      <c r="D19" s="310">
        <v>1102</v>
      </c>
      <c r="E19" s="638" t="s">
        <v>124</v>
      </c>
      <c r="F19" s="309" t="s">
        <v>168</v>
      </c>
      <c r="G19" s="312" t="s">
        <v>44</v>
      </c>
      <c r="H19" s="313"/>
      <c r="I19" s="313">
        <f t="shared" si="3"/>
        <v>0.79930000000000001</v>
      </c>
      <c r="J19" s="314">
        <v>1</v>
      </c>
      <c r="K19" s="315">
        <v>1</v>
      </c>
      <c r="L19" s="315">
        <v>1</v>
      </c>
      <c r="M19" s="314">
        <v>260</v>
      </c>
      <c r="N19" s="314"/>
      <c r="O19" s="314"/>
      <c r="P19" s="316">
        <f t="shared" si="4"/>
        <v>260</v>
      </c>
      <c r="Q19" s="317">
        <v>1</v>
      </c>
      <c r="R19" s="318">
        <f t="shared" si="7"/>
        <v>0.79930000000000001</v>
      </c>
      <c r="S19" s="318">
        <f t="shared" si="6"/>
        <v>0.79930000000000001</v>
      </c>
      <c r="T19" s="319">
        <f t="shared" si="0"/>
        <v>745.16</v>
      </c>
      <c r="U19" s="319">
        <f t="shared" si="1"/>
        <v>745.16</v>
      </c>
      <c r="V19" s="319"/>
      <c r="W19" s="319">
        <f t="shared" si="2"/>
        <v>0</v>
      </c>
      <c r="X19" s="646">
        <f t="shared" si="5"/>
        <v>745.16</v>
      </c>
      <c r="Y19" s="646">
        <f>SUM(X18:X19)</f>
        <v>1490.32</v>
      </c>
    </row>
    <row r="20" spans="1:25" ht="13.5" customHeight="1" x14ac:dyDescent="0.2">
      <c r="A20" s="276">
        <v>8</v>
      </c>
      <c r="B20" s="275" t="s">
        <v>156</v>
      </c>
      <c r="C20" s="275" t="s">
        <v>138</v>
      </c>
      <c r="D20" s="271">
        <v>1101</v>
      </c>
      <c r="E20" s="21" t="s">
        <v>124</v>
      </c>
      <c r="F20" s="275" t="s">
        <v>62</v>
      </c>
      <c r="G20" s="301" t="s">
        <v>44</v>
      </c>
      <c r="H20" s="282"/>
      <c r="I20" s="282">
        <f t="shared" si="3"/>
        <v>0.79930000000000001</v>
      </c>
      <c r="J20" s="277">
        <v>1</v>
      </c>
      <c r="K20" s="306">
        <v>1</v>
      </c>
      <c r="L20" s="306">
        <v>1</v>
      </c>
      <c r="M20" s="277">
        <v>260</v>
      </c>
      <c r="N20" s="277">
        <v>2</v>
      </c>
      <c r="O20" s="277">
        <v>3</v>
      </c>
      <c r="P20" s="304">
        <f t="shared" si="4"/>
        <v>257</v>
      </c>
      <c r="Q20" s="278">
        <v>1</v>
      </c>
      <c r="R20" s="307">
        <f t="shared" si="7"/>
        <v>0.79008</v>
      </c>
      <c r="S20" s="307">
        <f t="shared" si="6"/>
        <v>0.79008</v>
      </c>
      <c r="T20" s="269">
        <f t="shared" si="0"/>
        <v>736.56</v>
      </c>
      <c r="U20" s="269">
        <f t="shared" si="1"/>
        <v>736.56</v>
      </c>
      <c r="V20" s="269">
        <v>2</v>
      </c>
      <c r="W20" s="269">
        <f t="shared" si="2"/>
        <v>5.67</v>
      </c>
      <c r="X20" s="644">
        <f t="shared" si="5"/>
        <v>730.89</v>
      </c>
      <c r="Y20" s="644"/>
    </row>
    <row r="21" spans="1:25" s="310" customFormat="1" x14ac:dyDescent="0.2">
      <c r="A21" s="308"/>
      <c r="B21" s="309" t="s">
        <v>156</v>
      </c>
      <c r="C21" s="309" t="s">
        <v>138</v>
      </c>
      <c r="D21" s="310">
        <v>1101</v>
      </c>
      <c r="E21" s="402" t="s">
        <v>124</v>
      </c>
      <c r="F21" s="309" t="s">
        <v>62</v>
      </c>
      <c r="G21" s="312" t="s">
        <v>44</v>
      </c>
      <c r="H21" s="313"/>
      <c r="I21" s="313">
        <f t="shared" si="3"/>
        <v>0.79930000000000001</v>
      </c>
      <c r="J21" s="314">
        <v>1</v>
      </c>
      <c r="K21" s="315">
        <v>1</v>
      </c>
      <c r="L21" s="315">
        <v>1</v>
      </c>
      <c r="M21" s="314">
        <v>260</v>
      </c>
      <c r="N21" s="314">
        <v>2</v>
      </c>
      <c r="O21" s="314">
        <v>3</v>
      </c>
      <c r="P21" s="316">
        <f t="shared" si="4"/>
        <v>257</v>
      </c>
      <c r="Q21" s="317">
        <v>1</v>
      </c>
      <c r="R21" s="318">
        <f t="shared" si="7"/>
        <v>0.79008</v>
      </c>
      <c r="S21" s="318">
        <f t="shared" si="6"/>
        <v>0.79008</v>
      </c>
      <c r="T21" s="319">
        <f t="shared" si="0"/>
        <v>736.56</v>
      </c>
      <c r="U21" s="319">
        <f t="shared" si="1"/>
        <v>736.56</v>
      </c>
      <c r="V21" s="319">
        <v>2</v>
      </c>
      <c r="W21" s="319">
        <f t="shared" si="2"/>
        <v>5.67</v>
      </c>
      <c r="X21" s="646">
        <f t="shared" si="5"/>
        <v>730.89</v>
      </c>
      <c r="Y21" s="646">
        <f>SUM(X20:X21)</f>
        <v>1461.78</v>
      </c>
    </row>
    <row r="22" spans="1:25" ht="13.5" customHeight="1" x14ac:dyDescent="0.2">
      <c r="A22" s="276">
        <v>9</v>
      </c>
      <c r="B22" s="275" t="s">
        <v>81</v>
      </c>
      <c r="C22" s="275" t="s">
        <v>80</v>
      </c>
      <c r="D22" s="271">
        <v>1101</v>
      </c>
      <c r="E22" s="21" t="s">
        <v>124</v>
      </c>
      <c r="F22" s="275" t="s">
        <v>62</v>
      </c>
      <c r="G22" s="301" t="s">
        <v>44</v>
      </c>
      <c r="H22" s="282"/>
      <c r="I22" s="282">
        <f t="shared" si="3"/>
        <v>0.79930000000000001</v>
      </c>
      <c r="J22" s="277">
        <v>1</v>
      </c>
      <c r="K22" s="306">
        <v>1</v>
      </c>
      <c r="L22" s="306">
        <v>1</v>
      </c>
      <c r="M22" s="277">
        <v>260</v>
      </c>
      <c r="N22" s="277">
        <v>2</v>
      </c>
      <c r="O22" s="277">
        <v>2</v>
      </c>
      <c r="P22" s="304">
        <f t="shared" si="4"/>
        <v>258</v>
      </c>
      <c r="Q22" s="278">
        <v>1</v>
      </c>
      <c r="R22" s="307">
        <f t="shared" si="7"/>
        <v>0.79315000000000002</v>
      </c>
      <c r="S22" s="307">
        <f t="shared" si="6"/>
        <v>0.79315000000000002</v>
      </c>
      <c r="T22" s="269">
        <f t="shared" si="0"/>
        <v>739.42</v>
      </c>
      <c r="U22" s="269">
        <f t="shared" si="1"/>
        <v>739.42</v>
      </c>
      <c r="V22" s="269">
        <v>2</v>
      </c>
      <c r="W22" s="269">
        <f t="shared" si="2"/>
        <v>5.69</v>
      </c>
      <c r="X22" s="644">
        <f t="shared" si="5"/>
        <v>733.7299999999999</v>
      </c>
      <c r="Y22" s="644"/>
    </row>
    <row r="23" spans="1:25" s="310" customFormat="1" x14ac:dyDescent="0.2">
      <c r="A23" s="308"/>
      <c r="B23" s="309" t="s">
        <v>81</v>
      </c>
      <c r="C23" s="309" t="s">
        <v>80</v>
      </c>
      <c r="D23" s="310">
        <v>1101</v>
      </c>
      <c r="E23" s="402" t="s">
        <v>124</v>
      </c>
      <c r="F23" s="309" t="s">
        <v>62</v>
      </c>
      <c r="G23" s="312" t="s">
        <v>44</v>
      </c>
      <c r="H23" s="313"/>
      <c r="I23" s="313">
        <f t="shared" si="3"/>
        <v>0.79930000000000001</v>
      </c>
      <c r="J23" s="314">
        <v>1</v>
      </c>
      <c r="K23" s="315">
        <v>1</v>
      </c>
      <c r="L23" s="315">
        <v>1</v>
      </c>
      <c r="M23" s="314">
        <v>260</v>
      </c>
      <c r="N23" s="314">
        <v>2</v>
      </c>
      <c r="O23" s="314">
        <v>2</v>
      </c>
      <c r="P23" s="316">
        <f t="shared" si="4"/>
        <v>258</v>
      </c>
      <c r="Q23" s="317">
        <v>1</v>
      </c>
      <c r="R23" s="318">
        <f t="shared" si="7"/>
        <v>0.79315000000000002</v>
      </c>
      <c r="S23" s="318">
        <f t="shared" si="6"/>
        <v>0.79315000000000002</v>
      </c>
      <c r="T23" s="319">
        <f t="shared" si="0"/>
        <v>739.42</v>
      </c>
      <c r="U23" s="319">
        <f t="shared" si="1"/>
        <v>739.42</v>
      </c>
      <c r="V23" s="319">
        <v>2</v>
      </c>
      <c r="W23" s="319">
        <f t="shared" si="2"/>
        <v>5.69</v>
      </c>
      <c r="X23" s="646">
        <f t="shared" si="5"/>
        <v>733.7299999999999</v>
      </c>
      <c r="Y23" s="646">
        <f>SUM(X22:X23)</f>
        <v>1467.4599999999998</v>
      </c>
    </row>
    <row r="24" spans="1:25" ht="13.5" customHeight="1" x14ac:dyDescent="0.2">
      <c r="A24" s="276">
        <v>10</v>
      </c>
      <c r="B24" s="275" t="s">
        <v>79</v>
      </c>
      <c r="C24" s="275" t="s">
        <v>80</v>
      </c>
      <c r="D24" s="271">
        <v>1101</v>
      </c>
      <c r="E24" s="632" t="s">
        <v>152</v>
      </c>
      <c r="F24" s="275" t="s">
        <v>62</v>
      </c>
      <c r="G24" s="301" t="s">
        <v>44</v>
      </c>
      <c r="H24" s="282"/>
      <c r="I24" s="282">
        <f t="shared" si="3"/>
        <v>0.79930000000000001</v>
      </c>
      <c r="J24" s="277">
        <v>1</v>
      </c>
      <c r="K24" s="306">
        <v>1</v>
      </c>
      <c r="L24" s="306">
        <v>1</v>
      </c>
      <c r="M24" s="277">
        <v>260</v>
      </c>
      <c r="N24" s="277">
        <v>20</v>
      </c>
      <c r="O24" s="277">
        <v>20</v>
      </c>
      <c r="P24" s="304">
        <f t="shared" si="4"/>
        <v>260</v>
      </c>
      <c r="Q24" s="278">
        <v>1</v>
      </c>
      <c r="R24" s="307">
        <f t="shared" si="7"/>
        <v>0.79930000000000001</v>
      </c>
      <c r="S24" s="307">
        <f t="shared" si="6"/>
        <v>0.79930000000000001</v>
      </c>
      <c r="T24" s="269">
        <f t="shared" si="0"/>
        <v>745.16</v>
      </c>
      <c r="U24" s="269">
        <f t="shared" si="1"/>
        <v>745.16</v>
      </c>
      <c r="V24" s="269">
        <v>6</v>
      </c>
      <c r="W24" s="269">
        <f t="shared" si="2"/>
        <v>17.2</v>
      </c>
      <c r="X24" s="644">
        <f t="shared" si="5"/>
        <v>727.95999999999992</v>
      </c>
      <c r="Y24" s="644"/>
    </row>
    <row r="25" spans="1:25" s="310" customFormat="1" x14ac:dyDescent="0.2">
      <c r="A25" s="308"/>
      <c r="B25" s="309" t="s">
        <v>79</v>
      </c>
      <c r="C25" s="309" t="s">
        <v>80</v>
      </c>
      <c r="D25" s="310">
        <v>1101</v>
      </c>
      <c r="E25" s="402" t="s">
        <v>124</v>
      </c>
      <c r="F25" s="309" t="s">
        <v>62</v>
      </c>
      <c r="G25" s="312" t="s">
        <v>44</v>
      </c>
      <c r="H25" s="313"/>
      <c r="I25" s="313">
        <f t="shared" si="3"/>
        <v>0.79930000000000001</v>
      </c>
      <c r="J25" s="314">
        <v>1</v>
      </c>
      <c r="K25" s="315">
        <v>1</v>
      </c>
      <c r="L25" s="315">
        <v>1</v>
      </c>
      <c r="M25" s="314">
        <v>260</v>
      </c>
      <c r="N25" s="314">
        <v>20</v>
      </c>
      <c r="O25" s="314">
        <v>20</v>
      </c>
      <c r="P25" s="316">
        <f t="shared" si="4"/>
        <v>240</v>
      </c>
      <c r="Q25" s="317">
        <v>1</v>
      </c>
      <c r="R25" s="318">
        <f t="shared" ref="R25:R29" si="8">ROUND(IF(M25&lt;100,0,L25*I25*J25*P25/260*Q25),5)</f>
        <v>0.73782000000000003</v>
      </c>
      <c r="S25" s="318">
        <f t="shared" si="6"/>
        <v>0.73782000000000003</v>
      </c>
      <c r="T25" s="319">
        <f t="shared" si="0"/>
        <v>687.84</v>
      </c>
      <c r="U25" s="319">
        <f t="shared" si="1"/>
        <v>687.84</v>
      </c>
      <c r="V25" s="319">
        <v>6</v>
      </c>
      <c r="W25" s="319">
        <f t="shared" si="2"/>
        <v>15.87</v>
      </c>
      <c r="X25" s="646">
        <f t="shared" si="5"/>
        <v>671.97</v>
      </c>
      <c r="Y25" s="646">
        <f>SUM(X24:X25)</f>
        <v>1399.9299999999998</v>
      </c>
    </row>
    <row r="26" spans="1:25" s="643" customFormat="1" ht="13.5" customHeight="1" x14ac:dyDescent="0.2">
      <c r="A26" s="465">
        <v>11</v>
      </c>
      <c r="B26" s="265" t="s">
        <v>69</v>
      </c>
      <c r="C26" s="265" t="s">
        <v>70</v>
      </c>
      <c r="D26" s="643">
        <v>1101</v>
      </c>
      <c r="E26" s="632" t="s">
        <v>152</v>
      </c>
      <c r="F26" s="265" t="s">
        <v>62</v>
      </c>
      <c r="G26" s="322" t="s">
        <v>44</v>
      </c>
      <c r="H26" s="704" t="s">
        <v>378</v>
      </c>
      <c r="I26" s="282">
        <f t="shared" si="3"/>
        <v>0.79930000000000001</v>
      </c>
      <c r="J26" s="268">
        <v>1</v>
      </c>
      <c r="K26" s="459">
        <v>1</v>
      </c>
      <c r="L26" s="315">
        <v>1</v>
      </c>
      <c r="M26" s="268">
        <f>ROUND((365-31)/365*260,0)</f>
        <v>238</v>
      </c>
      <c r="N26" s="268">
        <v>6</v>
      </c>
      <c r="O26" s="268">
        <v>37</v>
      </c>
      <c r="P26" s="460">
        <f t="shared" si="4"/>
        <v>238</v>
      </c>
      <c r="Q26" s="456">
        <f>0.7222/2</f>
        <v>0.36109999999999998</v>
      </c>
      <c r="R26" s="466">
        <f t="shared" si="8"/>
        <v>0.26419999999999999</v>
      </c>
      <c r="S26" s="466">
        <f t="shared" si="6"/>
        <v>0.26419999999999999</v>
      </c>
      <c r="T26" s="644">
        <f t="shared" si="0"/>
        <v>246.3</v>
      </c>
      <c r="U26" s="644">
        <f t="shared" si="1"/>
        <v>246.3</v>
      </c>
      <c r="V26" s="644">
        <v>6</v>
      </c>
      <c r="W26" s="644">
        <f t="shared" si="2"/>
        <v>6.21</v>
      </c>
      <c r="X26" s="644">
        <f t="shared" si="5"/>
        <v>240.09</v>
      </c>
      <c r="Y26" s="644"/>
    </row>
    <row r="27" spans="1:25" s="643" customFormat="1" ht="13.5" customHeight="1" x14ac:dyDescent="0.2">
      <c r="A27" s="465"/>
      <c r="B27" s="265" t="s">
        <v>69</v>
      </c>
      <c r="C27" s="265" t="s">
        <v>70</v>
      </c>
      <c r="D27" s="643">
        <v>1102</v>
      </c>
      <c r="E27" s="632" t="s">
        <v>152</v>
      </c>
      <c r="F27" s="265" t="s">
        <v>62</v>
      </c>
      <c r="G27" s="322" t="s">
        <v>44</v>
      </c>
      <c r="H27" s="705"/>
      <c r="I27" s="282">
        <f t="shared" si="3"/>
        <v>0.79930000000000001</v>
      </c>
      <c r="J27" s="268">
        <v>1</v>
      </c>
      <c r="K27" s="459">
        <v>1</v>
      </c>
      <c r="L27" s="315">
        <v>1</v>
      </c>
      <c r="M27" s="268">
        <v>238</v>
      </c>
      <c r="N27" s="268">
        <v>6</v>
      </c>
      <c r="O27" s="268">
        <v>37</v>
      </c>
      <c r="P27" s="460">
        <f t="shared" si="4"/>
        <v>238</v>
      </c>
      <c r="Q27" s="456">
        <f>0.7222/2</f>
        <v>0.36109999999999998</v>
      </c>
      <c r="R27" s="466">
        <f t="shared" si="8"/>
        <v>0.26419999999999999</v>
      </c>
      <c r="S27" s="466">
        <f t="shared" si="6"/>
        <v>0.26419999999999999</v>
      </c>
      <c r="T27" s="644">
        <f t="shared" si="0"/>
        <v>246.3</v>
      </c>
      <c r="U27" s="644">
        <f t="shared" si="1"/>
        <v>246.3</v>
      </c>
      <c r="V27" s="644">
        <v>6</v>
      </c>
      <c r="W27" s="644">
        <f t="shared" si="2"/>
        <v>6.21</v>
      </c>
      <c r="X27" s="644">
        <f t="shared" si="5"/>
        <v>240.09</v>
      </c>
      <c r="Y27" s="644"/>
    </row>
    <row r="28" spans="1:25" s="643" customFormat="1" ht="13.5" customHeight="1" x14ac:dyDescent="0.2">
      <c r="A28" s="465"/>
      <c r="B28" s="265" t="s">
        <v>69</v>
      </c>
      <c r="C28" s="265" t="s">
        <v>70</v>
      </c>
      <c r="D28" s="643">
        <v>1102</v>
      </c>
      <c r="E28" s="632" t="s">
        <v>152</v>
      </c>
      <c r="F28" s="265" t="s">
        <v>62</v>
      </c>
      <c r="G28" s="322" t="s">
        <v>44</v>
      </c>
      <c r="H28" s="705"/>
      <c r="I28" s="282">
        <f t="shared" si="3"/>
        <v>0.79930000000000001</v>
      </c>
      <c r="J28" s="268">
        <v>1</v>
      </c>
      <c r="K28" s="459">
        <v>1</v>
      </c>
      <c r="L28" s="315">
        <v>1</v>
      </c>
      <c r="M28" s="268">
        <v>238</v>
      </c>
      <c r="N28" s="268"/>
      <c r="O28" s="268"/>
      <c r="P28" s="460">
        <f t="shared" si="4"/>
        <v>238</v>
      </c>
      <c r="Q28" s="456">
        <f>0.7222/2</f>
        <v>0.36109999999999998</v>
      </c>
      <c r="R28" s="466">
        <f t="shared" si="8"/>
        <v>0.26419999999999999</v>
      </c>
      <c r="S28" s="466">
        <f t="shared" si="6"/>
        <v>0.26419999999999999</v>
      </c>
      <c r="T28" s="644">
        <f t="shared" si="0"/>
        <v>246.3</v>
      </c>
      <c r="U28" s="644">
        <f t="shared" si="1"/>
        <v>246.3</v>
      </c>
      <c r="V28" s="644"/>
      <c r="W28" s="644">
        <f t="shared" si="2"/>
        <v>0</v>
      </c>
      <c r="X28" s="644">
        <f t="shared" si="5"/>
        <v>246.3</v>
      </c>
      <c r="Y28" s="644"/>
    </row>
    <row r="29" spans="1:25" s="645" customFormat="1" ht="18" customHeight="1" x14ac:dyDescent="0.2">
      <c r="A29" s="462"/>
      <c r="B29" s="321" t="s">
        <v>69</v>
      </c>
      <c r="C29" s="321" t="s">
        <v>70</v>
      </c>
      <c r="D29" s="645">
        <v>1101</v>
      </c>
      <c r="E29" s="638" t="s">
        <v>152</v>
      </c>
      <c r="F29" s="321" t="s">
        <v>62</v>
      </c>
      <c r="G29" s="323" t="s">
        <v>44</v>
      </c>
      <c r="H29" s="706"/>
      <c r="I29" s="313">
        <f t="shared" si="3"/>
        <v>0.79930000000000001</v>
      </c>
      <c r="J29" s="320">
        <v>1</v>
      </c>
      <c r="K29" s="463">
        <v>1</v>
      </c>
      <c r="L29" s="315">
        <v>1</v>
      </c>
      <c r="M29" s="320">
        <v>238</v>
      </c>
      <c r="N29" s="320"/>
      <c r="O29" s="320"/>
      <c r="P29" s="464">
        <f t="shared" si="4"/>
        <v>238</v>
      </c>
      <c r="Q29" s="600">
        <f>0.7222/2</f>
        <v>0.36109999999999998</v>
      </c>
      <c r="R29" s="461">
        <f t="shared" si="8"/>
        <v>0.26419999999999999</v>
      </c>
      <c r="S29" s="461">
        <f t="shared" si="6"/>
        <v>0.26419999999999999</v>
      </c>
      <c r="T29" s="646">
        <f t="shared" si="0"/>
        <v>246.3</v>
      </c>
      <c r="U29" s="646">
        <f t="shared" si="1"/>
        <v>246.3</v>
      </c>
      <c r="V29" s="646"/>
      <c r="W29" s="646">
        <f t="shared" si="2"/>
        <v>0</v>
      </c>
      <c r="X29" s="646">
        <f t="shared" si="5"/>
        <v>246.3</v>
      </c>
      <c r="Y29" s="646">
        <f>SUM(X26:X29)</f>
        <v>972.78</v>
      </c>
    </row>
    <row r="30" spans="1:25" ht="13.5" customHeight="1" x14ac:dyDescent="0.2">
      <c r="A30" s="276">
        <v>12</v>
      </c>
      <c r="B30" s="265" t="s">
        <v>200</v>
      </c>
      <c r="C30" s="275" t="s">
        <v>110</v>
      </c>
      <c r="D30" s="271">
        <v>1101</v>
      </c>
      <c r="E30" s="21" t="s">
        <v>124</v>
      </c>
      <c r="F30" s="275" t="s">
        <v>62</v>
      </c>
      <c r="G30" s="301" t="s">
        <v>44</v>
      </c>
      <c r="H30" s="282"/>
      <c r="I30" s="282">
        <f>VLOOKUP(G30,tabella3,2)</f>
        <v>0.79930000000000001</v>
      </c>
      <c r="J30" s="277">
        <v>1</v>
      </c>
      <c r="K30" s="306">
        <v>1</v>
      </c>
      <c r="L30" s="306">
        <v>1</v>
      </c>
      <c r="M30" s="277">
        <v>260</v>
      </c>
      <c r="N30" s="277"/>
      <c r="O30" s="277"/>
      <c r="P30" s="304">
        <f>IF(E30="GRUPPO",M30-O30,M30)</f>
        <v>260</v>
      </c>
      <c r="Q30" s="278">
        <v>1</v>
      </c>
      <c r="R30" s="307">
        <f>ROUND(IF(M30&lt;100,0,L30*I30*J30*P30/260*Q30),5)</f>
        <v>0.79930000000000001</v>
      </c>
      <c r="S30" s="307">
        <f>ROUND(IF(M30&lt;100,0,K30*I30*J30*P30/260*Q30),5)</f>
        <v>0.79930000000000001</v>
      </c>
      <c r="T30" s="269">
        <f t="shared" si="0"/>
        <v>745.16</v>
      </c>
      <c r="U30" s="269">
        <f t="shared" si="1"/>
        <v>745.16</v>
      </c>
      <c r="V30" s="269"/>
      <c r="W30" s="269">
        <f>ROUND(T30/M30*V30,2)</f>
        <v>0</v>
      </c>
      <c r="X30" s="644">
        <f>U30-W30</f>
        <v>745.16</v>
      </c>
      <c r="Y30" s="644"/>
    </row>
    <row r="31" spans="1:25" s="310" customFormat="1" x14ac:dyDescent="0.2">
      <c r="A31" s="308"/>
      <c r="B31" s="321" t="s">
        <v>200</v>
      </c>
      <c r="C31" s="321" t="s">
        <v>197</v>
      </c>
      <c r="D31" s="310">
        <v>1101</v>
      </c>
      <c r="E31" s="402" t="s">
        <v>124</v>
      </c>
      <c r="F31" s="309" t="s">
        <v>62</v>
      </c>
      <c r="G31" s="312" t="s">
        <v>44</v>
      </c>
      <c r="H31" s="313"/>
      <c r="I31" s="313">
        <f>VLOOKUP(G31,tabella3,2)</f>
        <v>0.79930000000000001</v>
      </c>
      <c r="J31" s="314">
        <v>1</v>
      </c>
      <c r="K31" s="315">
        <v>1</v>
      </c>
      <c r="L31" s="315">
        <v>1</v>
      </c>
      <c r="M31" s="314">
        <v>260</v>
      </c>
      <c r="N31" s="314"/>
      <c r="O31" s="314"/>
      <c r="P31" s="316">
        <f>IF(E31="GRUPPO",M31-O31,M31)</f>
        <v>260</v>
      </c>
      <c r="Q31" s="317">
        <v>1</v>
      </c>
      <c r="R31" s="318">
        <f>ROUND(IF(M31&lt;100,0,L31*I31*J31*P31/260*Q31),5)</f>
        <v>0.79930000000000001</v>
      </c>
      <c r="S31" s="318">
        <f>ROUND(IF(M31&lt;100,0,K31*I31*J31*P31/260*Q31),5)</f>
        <v>0.79930000000000001</v>
      </c>
      <c r="T31" s="319">
        <f t="shared" si="0"/>
        <v>745.16</v>
      </c>
      <c r="U31" s="319">
        <f t="shared" si="1"/>
        <v>745.16</v>
      </c>
      <c r="V31" s="319"/>
      <c r="W31" s="319">
        <f>ROUND(T31/M31*V31,2)</f>
        <v>0</v>
      </c>
      <c r="X31" s="646">
        <f>U31-W31</f>
        <v>745.16</v>
      </c>
      <c r="Y31" s="646">
        <f>SUM(X30:X31)</f>
        <v>1490.32</v>
      </c>
    </row>
    <row r="32" spans="1:25" ht="13.5" customHeight="1" x14ac:dyDescent="0.2">
      <c r="A32" s="276">
        <v>13</v>
      </c>
      <c r="B32" s="275" t="s">
        <v>55</v>
      </c>
      <c r="C32" s="275" t="s">
        <v>56</v>
      </c>
      <c r="D32" s="271">
        <v>1101</v>
      </c>
      <c r="E32" s="21" t="s">
        <v>124</v>
      </c>
      <c r="F32" s="275" t="s">
        <v>62</v>
      </c>
      <c r="G32" s="301" t="s">
        <v>44</v>
      </c>
      <c r="H32" s="282" t="s">
        <v>278</v>
      </c>
      <c r="I32" s="282">
        <f t="shared" ref="I32:I43" si="9">VLOOKUP(G32,tabella3,2)</f>
        <v>0.79930000000000001</v>
      </c>
      <c r="J32" s="277">
        <v>1</v>
      </c>
      <c r="K32" s="306">
        <v>1</v>
      </c>
      <c r="L32" s="306">
        <v>1</v>
      </c>
      <c r="M32" s="277">
        <v>260</v>
      </c>
      <c r="N32" s="277">
        <v>3</v>
      </c>
      <c r="O32" s="277">
        <v>3</v>
      </c>
      <c r="P32" s="304">
        <f t="shared" ref="P32:P41" si="10">IF(E32="GRUPPO",M32-O32,M32)</f>
        <v>257</v>
      </c>
      <c r="Q32" s="278">
        <v>0.72219999999999995</v>
      </c>
      <c r="R32" s="307">
        <f t="shared" ref="R32:R34" si="11">ROUND(IF(M32&lt;100,0,L32*I32*J32*P32/260*Q32),5)</f>
        <v>0.57059000000000004</v>
      </c>
      <c r="S32" s="307">
        <f t="shared" si="6"/>
        <v>0.57059000000000004</v>
      </c>
      <c r="T32" s="269">
        <f t="shared" si="0"/>
        <v>531.94000000000005</v>
      </c>
      <c r="U32" s="269">
        <f t="shared" si="1"/>
        <v>531.94000000000005</v>
      </c>
      <c r="V32" s="269">
        <v>3</v>
      </c>
      <c r="W32" s="269">
        <f t="shared" ref="W32:W43" si="12">ROUND(T32/M32*V32,2)</f>
        <v>6.14</v>
      </c>
      <c r="X32" s="644">
        <f t="shared" si="5"/>
        <v>525.80000000000007</v>
      </c>
      <c r="Y32" s="644"/>
    </row>
    <row r="33" spans="1:25" s="310" customFormat="1" x14ac:dyDescent="0.2">
      <c r="A33" s="308"/>
      <c r="B33" s="309" t="s">
        <v>55</v>
      </c>
      <c r="C33" s="309" t="s">
        <v>56</v>
      </c>
      <c r="D33" s="310">
        <v>1101</v>
      </c>
      <c r="E33" s="638" t="s">
        <v>124</v>
      </c>
      <c r="F33" s="309" t="s">
        <v>62</v>
      </c>
      <c r="G33" s="312" t="s">
        <v>44</v>
      </c>
      <c r="H33" s="313" t="s">
        <v>278</v>
      </c>
      <c r="I33" s="313">
        <f t="shared" si="9"/>
        <v>0.79930000000000001</v>
      </c>
      <c r="J33" s="314">
        <v>1</v>
      </c>
      <c r="K33" s="315">
        <v>1</v>
      </c>
      <c r="L33" s="315">
        <v>1</v>
      </c>
      <c r="M33" s="314">
        <v>260</v>
      </c>
      <c r="N33" s="314">
        <v>3</v>
      </c>
      <c r="O33" s="314">
        <v>3</v>
      </c>
      <c r="P33" s="316">
        <f t="shared" si="10"/>
        <v>257</v>
      </c>
      <c r="Q33" s="317">
        <v>0.72219999999999995</v>
      </c>
      <c r="R33" s="318">
        <f t="shared" si="11"/>
        <v>0.57059000000000004</v>
      </c>
      <c r="S33" s="318">
        <f t="shared" si="6"/>
        <v>0.57059000000000004</v>
      </c>
      <c r="T33" s="319">
        <f t="shared" si="0"/>
        <v>531.94000000000005</v>
      </c>
      <c r="U33" s="319">
        <f t="shared" si="1"/>
        <v>531.94000000000005</v>
      </c>
      <c r="V33" s="319">
        <v>3</v>
      </c>
      <c r="W33" s="319">
        <f t="shared" si="12"/>
        <v>6.14</v>
      </c>
      <c r="X33" s="646">
        <f t="shared" si="5"/>
        <v>525.80000000000007</v>
      </c>
      <c r="Y33" s="646">
        <f>SUM(X32:X33)</f>
        <v>1051.6000000000001</v>
      </c>
    </row>
    <row r="34" spans="1:25" ht="13.5" customHeight="1" x14ac:dyDescent="0.2">
      <c r="A34" s="276">
        <v>14</v>
      </c>
      <c r="B34" s="275" t="s">
        <v>75</v>
      </c>
      <c r="C34" s="275" t="s">
        <v>76</v>
      </c>
      <c r="D34" s="271">
        <v>1101</v>
      </c>
      <c r="E34" s="21" t="s">
        <v>124</v>
      </c>
      <c r="F34" s="275" t="s">
        <v>62</v>
      </c>
      <c r="G34" s="301" t="s">
        <v>47</v>
      </c>
      <c r="H34" s="282" t="s">
        <v>379</v>
      </c>
      <c r="I34" s="282">
        <f>VLOOKUP(G34,tabella3,2)</f>
        <v>0.86970000000000003</v>
      </c>
      <c r="J34" s="277">
        <v>1</v>
      </c>
      <c r="K34" s="306">
        <v>1</v>
      </c>
      <c r="L34" s="306">
        <v>1</v>
      </c>
      <c r="M34" s="277">
        <f>ROUND(((31+28+31+30+31+30+31+31+30+31+3)/365)*260,0)</f>
        <v>219</v>
      </c>
      <c r="N34" s="277"/>
      <c r="O34" s="277"/>
      <c r="P34" s="680">
        <f>IF(E34="GRUPPO",M34-O34,M34)</f>
        <v>219</v>
      </c>
      <c r="Q34" s="278">
        <v>0.5</v>
      </c>
      <c r="R34" s="318">
        <f t="shared" si="11"/>
        <v>0.36627999999999999</v>
      </c>
      <c r="S34" s="318">
        <f t="shared" si="6"/>
        <v>0.36627999999999999</v>
      </c>
      <c r="T34" s="269">
        <f t="shared" si="0"/>
        <v>341.47</v>
      </c>
      <c r="U34" s="269">
        <f t="shared" si="1"/>
        <v>341.47</v>
      </c>
      <c r="V34" s="269"/>
      <c r="W34" s="269">
        <f>ROUND(T34/M34*V34,2)</f>
        <v>0</v>
      </c>
      <c r="X34" s="644">
        <f>U34-W34</f>
        <v>341.47</v>
      </c>
      <c r="Y34" s="644"/>
    </row>
    <row r="35" spans="1:25" ht="13.5" customHeight="1" x14ac:dyDescent="0.2">
      <c r="A35" s="276"/>
      <c r="B35" s="275" t="s">
        <v>75</v>
      </c>
      <c r="C35" s="275" t="s">
        <v>76</v>
      </c>
      <c r="D35" s="271">
        <v>1102</v>
      </c>
      <c r="E35" s="21" t="s">
        <v>124</v>
      </c>
      <c r="F35" s="275" t="s">
        <v>62</v>
      </c>
      <c r="G35" s="301" t="s">
        <v>47</v>
      </c>
      <c r="H35" s="282" t="s">
        <v>379</v>
      </c>
      <c r="I35" s="282">
        <f>VLOOKUP(G35,tabella3,2)</f>
        <v>0.86970000000000003</v>
      </c>
      <c r="J35" s="277">
        <v>1</v>
      </c>
      <c r="K35" s="306">
        <v>1</v>
      </c>
      <c r="L35" s="306">
        <v>1</v>
      </c>
      <c r="M35" s="277">
        <f t="shared" ref="M35:M37" si="13">ROUND(((31+28+31+30+31+30+31+31+30+31+3)/365)*260,0)</f>
        <v>219</v>
      </c>
      <c r="N35" s="277"/>
      <c r="O35" s="277"/>
      <c r="P35" s="680">
        <f>IF(E35="GRUPPO",M35-O35,M35)</f>
        <v>219</v>
      </c>
      <c r="Q35" s="278">
        <v>0.5</v>
      </c>
      <c r="R35" s="307">
        <f>ROUND(IF((M35+M34)&lt;100,0,L35*I35*J35*P35/260*Q35),5)</f>
        <v>0.36627999999999999</v>
      </c>
      <c r="S35" s="307">
        <f>ROUND(IF((M35+M34)&lt;100,0,K35*I35*J35*P35/260*Q35),5)</f>
        <v>0.36627999999999999</v>
      </c>
      <c r="T35" s="269">
        <f t="shared" si="0"/>
        <v>341.47</v>
      </c>
      <c r="U35" s="269">
        <f t="shared" si="1"/>
        <v>341.47</v>
      </c>
      <c r="V35" s="269"/>
      <c r="W35" s="269">
        <f>ROUND(T35/M35*V35,2)</f>
        <v>0</v>
      </c>
      <c r="X35" s="644">
        <f>U35-W35</f>
        <v>341.47</v>
      </c>
      <c r="Y35" s="644"/>
    </row>
    <row r="36" spans="1:25" ht="13.5" customHeight="1" x14ac:dyDescent="0.2">
      <c r="A36" s="276"/>
      <c r="B36" s="275" t="s">
        <v>75</v>
      </c>
      <c r="C36" s="275" t="s">
        <v>76</v>
      </c>
      <c r="D36" s="271">
        <v>1102</v>
      </c>
      <c r="E36" s="632" t="s">
        <v>152</v>
      </c>
      <c r="F36" s="275" t="s">
        <v>62</v>
      </c>
      <c r="G36" s="301" t="s">
        <v>47</v>
      </c>
      <c r="H36" s="282" t="s">
        <v>379</v>
      </c>
      <c r="I36" s="282">
        <f>VLOOKUP(G36,tabella3,2)</f>
        <v>0.86970000000000003</v>
      </c>
      <c r="J36" s="277">
        <v>1</v>
      </c>
      <c r="K36" s="306">
        <v>1</v>
      </c>
      <c r="L36" s="306">
        <v>1</v>
      </c>
      <c r="M36" s="277">
        <f t="shared" si="13"/>
        <v>219</v>
      </c>
      <c r="N36" s="277"/>
      <c r="O36" s="277"/>
      <c r="P36" s="680">
        <f>IF(E36="GRUPPO",M36-O36,M36)</f>
        <v>219</v>
      </c>
      <c r="Q36" s="278">
        <v>0.5</v>
      </c>
      <c r="R36" s="307">
        <f>ROUND(IF((M36+M35)&lt;100,0,L36*I36*J36*P36/260*Q36),5)</f>
        <v>0.36627999999999999</v>
      </c>
      <c r="S36" s="307">
        <f>ROUND(IF((M36+M35)&lt;100,0,K36*I36*J36*P36/260*Q36),5)</f>
        <v>0.36627999999999999</v>
      </c>
      <c r="T36" s="269">
        <f t="shared" ref="T36:T67" si="14">ROUND($D$107*S36,2)</f>
        <v>341.47</v>
      </c>
      <c r="U36" s="269">
        <f t="shared" ref="U36:U67" si="15">ROUND($D$107*R36,2)</f>
        <v>341.47</v>
      </c>
      <c r="V36" s="269"/>
      <c r="W36" s="269">
        <f>ROUND(T36/M36*V36,2)</f>
        <v>0</v>
      </c>
      <c r="X36" s="644">
        <f>U36-W36</f>
        <v>341.47</v>
      </c>
      <c r="Y36" s="644"/>
    </row>
    <row r="37" spans="1:25" s="310" customFormat="1" x14ac:dyDescent="0.2">
      <c r="A37" s="308"/>
      <c r="B37" s="309" t="s">
        <v>75</v>
      </c>
      <c r="C37" s="309" t="s">
        <v>76</v>
      </c>
      <c r="D37" s="310">
        <v>1101</v>
      </c>
      <c r="E37" s="638" t="s">
        <v>152</v>
      </c>
      <c r="F37" s="309" t="s">
        <v>62</v>
      </c>
      <c r="G37" s="312" t="s">
        <v>47</v>
      </c>
      <c r="H37" s="313" t="s">
        <v>379</v>
      </c>
      <c r="I37" s="313">
        <f>VLOOKUP(G37,tabella3,2)</f>
        <v>0.86970000000000003</v>
      </c>
      <c r="J37" s="314">
        <v>1</v>
      </c>
      <c r="K37" s="315">
        <v>1</v>
      </c>
      <c r="L37" s="315">
        <v>1</v>
      </c>
      <c r="M37" s="277">
        <f t="shared" si="13"/>
        <v>219</v>
      </c>
      <c r="N37" s="314"/>
      <c r="O37" s="314"/>
      <c r="P37" s="681">
        <f>IF(E37="GRUPPO",M37-O37,M37)</f>
        <v>219</v>
      </c>
      <c r="Q37" s="317">
        <v>0.5</v>
      </c>
      <c r="R37" s="307">
        <f>ROUND(IF((M37+M36)&lt;100,0,L37*I37*J37*P37/260*Q37),5)</f>
        <v>0.36627999999999999</v>
      </c>
      <c r="S37" s="307">
        <f>ROUND(IF((M37+M36)&lt;100,0,K37*I37*J37*P37/260*Q37),5)</f>
        <v>0.36627999999999999</v>
      </c>
      <c r="T37" s="319">
        <f t="shared" si="14"/>
        <v>341.47</v>
      </c>
      <c r="U37" s="319">
        <f t="shared" si="15"/>
        <v>341.47</v>
      </c>
      <c r="V37" s="319"/>
      <c r="W37" s="319">
        <f>ROUND(T37/M37*V37,2)</f>
        <v>0</v>
      </c>
      <c r="X37" s="646">
        <f>U37-W37</f>
        <v>341.47</v>
      </c>
      <c r="Y37" s="646">
        <f>SUM(X34:X37)</f>
        <v>1365.88</v>
      </c>
    </row>
    <row r="38" spans="1:25" customFormat="1" ht="13.5" customHeight="1" x14ac:dyDescent="0.2">
      <c r="A38" s="31">
        <v>15</v>
      </c>
      <c r="B38" s="146" t="s">
        <v>298</v>
      </c>
      <c r="C38" s="146" t="s">
        <v>295</v>
      </c>
      <c r="D38">
        <v>1101</v>
      </c>
      <c r="E38" s="21" t="s">
        <v>152</v>
      </c>
      <c r="F38" s="146" t="s">
        <v>299</v>
      </c>
      <c r="G38" s="389" t="s">
        <v>44</v>
      </c>
      <c r="H38" s="144" t="s">
        <v>306</v>
      </c>
      <c r="I38" s="144">
        <f t="shared" si="9"/>
        <v>0.79930000000000001</v>
      </c>
      <c r="J38" s="39">
        <v>1</v>
      </c>
      <c r="K38" s="390">
        <v>1</v>
      </c>
      <c r="L38" s="390">
        <v>1</v>
      </c>
      <c r="M38" s="39">
        <v>260</v>
      </c>
      <c r="N38" s="39"/>
      <c r="O38" s="39"/>
      <c r="P38" s="391">
        <f t="shared" si="10"/>
        <v>260</v>
      </c>
      <c r="Q38" s="83">
        <v>0.5</v>
      </c>
      <c r="R38" s="392">
        <f>ROUND(IF(M38&lt;80,0,L38*I38*J38*P38/260*Q38),5)</f>
        <v>0.39965000000000001</v>
      </c>
      <c r="S38" s="392">
        <f>ROUND(IF(M38&lt;80,0,K38*I38*J38*P38/260*Q38),5)</f>
        <v>0.39965000000000001</v>
      </c>
      <c r="T38" s="40">
        <f t="shared" si="14"/>
        <v>372.58</v>
      </c>
      <c r="U38" s="40">
        <f t="shared" si="15"/>
        <v>372.58</v>
      </c>
      <c r="V38" s="40"/>
      <c r="W38" s="40">
        <f t="shared" si="12"/>
        <v>0</v>
      </c>
      <c r="X38" s="636">
        <f t="shared" si="5"/>
        <v>372.58</v>
      </c>
      <c r="Y38" s="636"/>
    </row>
    <row r="39" spans="1:25" s="118" customFormat="1" x14ac:dyDescent="0.2">
      <c r="A39" s="149"/>
      <c r="B39" s="393" t="s">
        <v>298</v>
      </c>
      <c r="C39" s="393" t="s">
        <v>295</v>
      </c>
      <c r="D39" s="118">
        <v>1101</v>
      </c>
      <c r="E39" s="402" t="s">
        <v>152</v>
      </c>
      <c r="F39" s="393" t="s">
        <v>299</v>
      </c>
      <c r="G39" s="394" t="s">
        <v>44</v>
      </c>
      <c r="H39" s="395" t="s">
        <v>306</v>
      </c>
      <c r="I39" s="395">
        <f t="shared" si="9"/>
        <v>0.79930000000000001</v>
      </c>
      <c r="J39" s="396">
        <v>1</v>
      </c>
      <c r="K39" s="397">
        <v>1</v>
      </c>
      <c r="L39" s="397">
        <v>1</v>
      </c>
      <c r="M39" s="396">
        <v>260</v>
      </c>
      <c r="N39" s="396"/>
      <c r="O39" s="396"/>
      <c r="P39" s="398">
        <f t="shared" si="10"/>
        <v>260</v>
      </c>
      <c r="Q39" s="399">
        <v>0.5</v>
      </c>
      <c r="R39" s="400">
        <f>ROUND(IF(M39&lt;80,0,L39*I39*J39*P39/260*Q39),5)</f>
        <v>0.39965000000000001</v>
      </c>
      <c r="S39" s="400">
        <f>ROUND(IF(M39&lt;80,0,K39*I39*J39*P39/260*Q39),5)</f>
        <v>0.39965000000000001</v>
      </c>
      <c r="T39" s="153">
        <f t="shared" si="14"/>
        <v>372.58</v>
      </c>
      <c r="U39" s="153">
        <f t="shared" si="15"/>
        <v>372.58</v>
      </c>
      <c r="V39" s="153"/>
      <c r="W39" s="153">
        <f t="shared" si="12"/>
        <v>0</v>
      </c>
      <c r="X39" s="642">
        <f t="shared" si="5"/>
        <v>372.58</v>
      </c>
      <c r="Y39" s="642">
        <f>+X38+X39</f>
        <v>745.16</v>
      </c>
    </row>
    <row r="40" spans="1:25" ht="13.5" customHeight="1" x14ac:dyDescent="0.2">
      <c r="A40" s="276">
        <v>16</v>
      </c>
      <c r="B40" s="275" t="s">
        <v>63</v>
      </c>
      <c r="C40" s="275" t="s">
        <v>64</v>
      </c>
      <c r="D40" s="271">
        <v>1101</v>
      </c>
      <c r="E40" s="21" t="s">
        <v>124</v>
      </c>
      <c r="F40" s="275" t="s">
        <v>155</v>
      </c>
      <c r="G40" s="301" t="s">
        <v>47</v>
      </c>
      <c r="H40" s="282"/>
      <c r="I40" s="282">
        <f t="shared" si="9"/>
        <v>0.86970000000000003</v>
      </c>
      <c r="J40" s="277">
        <v>1</v>
      </c>
      <c r="K40" s="306">
        <v>1</v>
      </c>
      <c r="L40" s="306">
        <v>1</v>
      </c>
      <c r="M40" s="277">
        <v>260</v>
      </c>
      <c r="N40" s="277">
        <v>1</v>
      </c>
      <c r="O40" s="277">
        <v>1</v>
      </c>
      <c r="P40" s="304">
        <f t="shared" si="10"/>
        <v>259</v>
      </c>
      <c r="Q40" s="278">
        <v>1</v>
      </c>
      <c r="R40" s="307">
        <f t="shared" ref="R40:R46" si="16">ROUND(IF(M40&lt;100,0,L40*I40*J40*P40/260*Q40),5)</f>
        <v>0.86636000000000002</v>
      </c>
      <c r="S40" s="307">
        <f t="shared" si="6"/>
        <v>0.86636000000000002</v>
      </c>
      <c r="T40" s="269">
        <f t="shared" si="14"/>
        <v>807.68</v>
      </c>
      <c r="U40" s="269">
        <f t="shared" si="15"/>
        <v>807.68</v>
      </c>
      <c r="V40" s="269">
        <v>1</v>
      </c>
      <c r="W40" s="269">
        <f t="shared" si="12"/>
        <v>3.11</v>
      </c>
      <c r="X40" s="644">
        <f t="shared" si="5"/>
        <v>804.56999999999994</v>
      </c>
      <c r="Y40" s="644"/>
    </row>
    <row r="41" spans="1:25" s="310" customFormat="1" x14ac:dyDescent="0.2">
      <c r="A41" s="308"/>
      <c r="B41" s="309" t="s">
        <v>63</v>
      </c>
      <c r="C41" s="309" t="s">
        <v>64</v>
      </c>
      <c r="D41" s="310">
        <v>1101</v>
      </c>
      <c r="E41" s="402" t="s">
        <v>124</v>
      </c>
      <c r="F41" s="309" t="s">
        <v>155</v>
      </c>
      <c r="G41" s="312" t="s">
        <v>47</v>
      </c>
      <c r="H41" s="313"/>
      <c r="I41" s="313">
        <f t="shared" si="9"/>
        <v>0.86970000000000003</v>
      </c>
      <c r="J41" s="314">
        <v>1</v>
      </c>
      <c r="K41" s="315">
        <v>1</v>
      </c>
      <c r="L41" s="315">
        <v>1</v>
      </c>
      <c r="M41" s="314">
        <v>260</v>
      </c>
      <c r="N41" s="314">
        <v>1</v>
      </c>
      <c r="O41" s="314">
        <v>1</v>
      </c>
      <c r="P41" s="316">
        <f t="shared" si="10"/>
        <v>259</v>
      </c>
      <c r="Q41" s="317">
        <v>1</v>
      </c>
      <c r="R41" s="318">
        <f t="shared" si="16"/>
        <v>0.86636000000000002</v>
      </c>
      <c r="S41" s="318">
        <f t="shared" si="6"/>
        <v>0.86636000000000002</v>
      </c>
      <c r="T41" s="319">
        <f t="shared" si="14"/>
        <v>807.68</v>
      </c>
      <c r="U41" s="319">
        <f t="shared" si="15"/>
        <v>807.68</v>
      </c>
      <c r="V41" s="319">
        <v>1</v>
      </c>
      <c r="W41" s="319">
        <f t="shared" si="12"/>
        <v>3.11</v>
      </c>
      <c r="X41" s="646">
        <f t="shared" si="5"/>
        <v>804.56999999999994</v>
      </c>
      <c r="Y41" s="646">
        <f>SUM(X40:X41)</f>
        <v>1609.1399999999999</v>
      </c>
    </row>
    <row r="42" spans="1:25" ht="13.5" customHeight="1" x14ac:dyDescent="0.2">
      <c r="A42" s="276">
        <v>17</v>
      </c>
      <c r="B42" s="265" t="s">
        <v>296</v>
      </c>
      <c r="C42" s="265" t="s">
        <v>137</v>
      </c>
      <c r="D42" s="271">
        <v>1102</v>
      </c>
      <c r="E42" s="21" t="s">
        <v>124</v>
      </c>
      <c r="F42" s="275" t="s">
        <v>91</v>
      </c>
      <c r="G42" s="301" t="s">
        <v>47</v>
      </c>
      <c r="H42" s="282"/>
      <c r="I42" s="282">
        <f t="shared" si="9"/>
        <v>0.86970000000000003</v>
      </c>
      <c r="J42" s="277">
        <v>1</v>
      </c>
      <c r="K42" s="306">
        <v>1</v>
      </c>
      <c r="L42" s="306">
        <v>1</v>
      </c>
      <c r="M42" s="277">
        <v>260</v>
      </c>
      <c r="N42" s="277">
        <v>4</v>
      </c>
      <c r="O42" s="277">
        <v>4</v>
      </c>
      <c r="P42" s="304">
        <f t="shared" ref="P42:P64" si="17">IF(E42="GRUPPO",M42-O42,M42)</f>
        <v>256</v>
      </c>
      <c r="Q42" s="278">
        <v>1</v>
      </c>
      <c r="R42" s="307">
        <f t="shared" si="16"/>
        <v>0.85631999999999997</v>
      </c>
      <c r="S42" s="307">
        <f t="shared" si="6"/>
        <v>0.85631999999999997</v>
      </c>
      <c r="T42" s="269">
        <f t="shared" si="14"/>
        <v>798.32</v>
      </c>
      <c r="U42" s="269">
        <f t="shared" si="15"/>
        <v>798.32</v>
      </c>
      <c r="V42" s="269">
        <v>4</v>
      </c>
      <c r="W42" s="269">
        <f t="shared" si="12"/>
        <v>12.28</v>
      </c>
      <c r="X42" s="644">
        <f t="shared" ref="X42:X86" si="18">U42-W42</f>
        <v>786.04000000000008</v>
      </c>
      <c r="Y42" s="644"/>
    </row>
    <row r="43" spans="1:25" s="310" customFormat="1" ht="13.5" customHeight="1" x14ac:dyDescent="0.2">
      <c r="A43" s="308"/>
      <c r="B43" s="321" t="s">
        <v>296</v>
      </c>
      <c r="C43" s="321" t="s">
        <v>137</v>
      </c>
      <c r="D43" s="310">
        <v>1102</v>
      </c>
      <c r="E43" s="402" t="s">
        <v>124</v>
      </c>
      <c r="F43" s="309" t="s">
        <v>91</v>
      </c>
      <c r="G43" s="312" t="s">
        <v>47</v>
      </c>
      <c r="H43" s="313"/>
      <c r="I43" s="313">
        <f t="shared" si="9"/>
        <v>0.86970000000000003</v>
      </c>
      <c r="J43" s="314">
        <v>1</v>
      </c>
      <c r="K43" s="315">
        <v>1</v>
      </c>
      <c r="L43" s="315">
        <v>1</v>
      </c>
      <c r="M43" s="314">
        <v>260</v>
      </c>
      <c r="N43" s="314">
        <v>4</v>
      </c>
      <c r="O43" s="314">
        <v>4</v>
      </c>
      <c r="P43" s="316">
        <f t="shared" si="17"/>
        <v>256</v>
      </c>
      <c r="Q43" s="317">
        <v>1</v>
      </c>
      <c r="R43" s="318">
        <f t="shared" si="16"/>
        <v>0.85631999999999997</v>
      </c>
      <c r="S43" s="318">
        <f t="shared" si="6"/>
        <v>0.85631999999999997</v>
      </c>
      <c r="T43" s="319">
        <f t="shared" si="14"/>
        <v>798.32</v>
      </c>
      <c r="U43" s="319">
        <f t="shared" si="15"/>
        <v>798.32</v>
      </c>
      <c r="V43" s="319">
        <v>4</v>
      </c>
      <c r="W43" s="319">
        <f t="shared" si="12"/>
        <v>12.28</v>
      </c>
      <c r="X43" s="646">
        <f t="shared" si="18"/>
        <v>786.04000000000008</v>
      </c>
      <c r="Y43" s="646">
        <f>+X42+X43</f>
        <v>1572.0800000000002</v>
      </c>
    </row>
    <row r="44" spans="1:25" ht="13.5" customHeight="1" x14ac:dyDescent="0.2">
      <c r="A44" s="276">
        <v>18</v>
      </c>
      <c r="B44" s="265" t="s">
        <v>303</v>
      </c>
      <c r="C44" s="265" t="s">
        <v>304</v>
      </c>
      <c r="D44" s="271">
        <v>1102</v>
      </c>
      <c r="E44" s="669" t="s">
        <v>124</v>
      </c>
      <c r="F44" s="275" t="s">
        <v>91</v>
      </c>
      <c r="G44" s="301" t="s">
        <v>47</v>
      </c>
      <c r="H44" s="282"/>
      <c r="I44" s="282">
        <f>VLOOKUP(G44,tabella3,2)</f>
        <v>0.86970000000000003</v>
      </c>
      <c r="J44" s="277">
        <v>1</v>
      </c>
      <c r="K44" s="306">
        <v>1</v>
      </c>
      <c r="L44" s="306">
        <v>1</v>
      </c>
      <c r="M44" s="268">
        <v>260</v>
      </c>
      <c r="N44" s="277">
        <v>1</v>
      </c>
      <c r="O44" s="277">
        <v>1</v>
      </c>
      <c r="P44" s="304">
        <f>IF(E44="GRUPPO",M44-O44,M44)</f>
        <v>259</v>
      </c>
      <c r="Q44" s="278">
        <v>1</v>
      </c>
      <c r="R44" s="307">
        <f t="shared" si="16"/>
        <v>0.86636000000000002</v>
      </c>
      <c r="S44" s="307">
        <f>ROUND(IF(M44&lt;100,0,K44*I44*J44*P44/260*Q44),5)</f>
        <v>0.86636000000000002</v>
      </c>
      <c r="T44" s="269">
        <f t="shared" si="14"/>
        <v>807.68</v>
      </c>
      <c r="U44" s="269">
        <f t="shared" si="15"/>
        <v>807.68</v>
      </c>
      <c r="V44" s="269">
        <v>1</v>
      </c>
      <c r="W44" s="269">
        <f>ROUND(T44/M44*V44,2)</f>
        <v>3.11</v>
      </c>
      <c r="X44" s="644">
        <f>U44-W44</f>
        <v>804.56999999999994</v>
      </c>
      <c r="Y44" s="644"/>
    </row>
    <row r="45" spans="1:25" s="310" customFormat="1" ht="13.5" customHeight="1" x14ac:dyDescent="0.2">
      <c r="A45" s="308"/>
      <c r="B45" s="321" t="s">
        <v>303</v>
      </c>
      <c r="C45" s="321" t="s">
        <v>304</v>
      </c>
      <c r="D45" s="310">
        <v>1102</v>
      </c>
      <c r="E45" s="670" t="s">
        <v>124</v>
      </c>
      <c r="F45" s="309" t="s">
        <v>91</v>
      </c>
      <c r="G45" s="312" t="s">
        <v>47</v>
      </c>
      <c r="H45" s="313"/>
      <c r="I45" s="313">
        <f>VLOOKUP(G45,tabella3,2)</f>
        <v>0.86970000000000003</v>
      </c>
      <c r="J45" s="314">
        <v>1</v>
      </c>
      <c r="K45" s="315">
        <v>1</v>
      </c>
      <c r="L45" s="315">
        <v>1</v>
      </c>
      <c r="M45" s="320">
        <v>260</v>
      </c>
      <c r="N45" s="314">
        <v>1</v>
      </c>
      <c r="O45" s="314">
        <v>1</v>
      </c>
      <c r="P45" s="316">
        <f>IF(E45="GRUPPO",M45-O45,M45)</f>
        <v>259</v>
      </c>
      <c r="Q45" s="317">
        <v>1</v>
      </c>
      <c r="R45" s="318">
        <f t="shared" si="16"/>
        <v>0.86636000000000002</v>
      </c>
      <c r="S45" s="318">
        <f>ROUND(IF(M45&lt;100,0,K45*I45*J45*P45/260*Q45),5)</f>
        <v>0.86636000000000002</v>
      </c>
      <c r="T45" s="319">
        <f t="shared" si="14"/>
        <v>807.68</v>
      </c>
      <c r="U45" s="319">
        <f t="shared" si="15"/>
        <v>807.68</v>
      </c>
      <c r="V45" s="319">
        <v>1</v>
      </c>
      <c r="W45" s="319">
        <f>ROUND(T45/M45*V45,2)</f>
        <v>3.11</v>
      </c>
      <c r="X45" s="646">
        <f>U45-W45</f>
        <v>804.56999999999994</v>
      </c>
      <c r="Y45" s="646">
        <f>+X44+X45</f>
        <v>1609.1399999999999</v>
      </c>
    </row>
    <row r="46" spans="1:25" s="359" customFormat="1" x14ac:dyDescent="0.2">
      <c r="A46" s="362">
        <v>19</v>
      </c>
      <c r="B46" s="363" t="s">
        <v>51</v>
      </c>
      <c r="C46" s="363" t="s">
        <v>52</v>
      </c>
      <c r="D46" s="359">
        <v>1101</v>
      </c>
      <c r="E46" s="669" t="s">
        <v>124</v>
      </c>
      <c r="F46" s="363" t="s">
        <v>228</v>
      </c>
      <c r="G46" s="364" t="s">
        <v>50</v>
      </c>
      <c r="H46" s="365"/>
      <c r="I46" s="365">
        <f t="shared" ref="I46:I75" si="19">VLOOKUP(G46,tabella3,2)</f>
        <v>1</v>
      </c>
      <c r="J46" s="366">
        <v>1</v>
      </c>
      <c r="K46" s="367">
        <v>1</v>
      </c>
      <c r="L46" s="367">
        <v>1</v>
      </c>
      <c r="M46" s="366">
        <v>260</v>
      </c>
      <c r="N46" s="366">
        <v>3</v>
      </c>
      <c r="O46" s="366">
        <v>15</v>
      </c>
      <c r="P46" s="368">
        <f t="shared" si="17"/>
        <v>245</v>
      </c>
      <c r="Q46" s="369">
        <v>1</v>
      </c>
      <c r="R46" s="370">
        <f t="shared" si="16"/>
        <v>0.94230999999999998</v>
      </c>
      <c r="S46" s="370">
        <f>ROUND(IF(M46&lt;100,0,K46*I46*J46*P46/260*Q46),5)</f>
        <v>0.94230999999999998</v>
      </c>
      <c r="T46" s="371">
        <f t="shared" si="14"/>
        <v>878.48</v>
      </c>
      <c r="U46" s="371">
        <f t="shared" si="15"/>
        <v>878.48</v>
      </c>
      <c r="V46" s="371">
        <v>3</v>
      </c>
      <c r="W46" s="371">
        <f t="shared" ref="W46:W75" si="20">ROUND(T46/M46*V46,2)</f>
        <v>10.14</v>
      </c>
      <c r="X46" s="371">
        <f t="shared" si="18"/>
        <v>868.34</v>
      </c>
      <c r="Y46" s="371"/>
    </row>
    <row r="47" spans="1:25" s="360" customFormat="1" x14ac:dyDescent="0.2">
      <c r="A47" s="372"/>
      <c r="B47" s="373" t="s">
        <v>51</v>
      </c>
      <c r="C47" s="373" t="s">
        <v>52</v>
      </c>
      <c r="D47" s="360">
        <v>1101</v>
      </c>
      <c r="E47" s="670" t="s">
        <v>152</v>
      </c>
      <c r="F47" s="373" t="s">
        <v>228</v>
      </c>
      <c r="G47" s="374" t="s">
        <v>50</v>
      </c>
      <c r="H47" s="375"/>
      <c r="I47" s="375">
        <f t="shared" si="19"/>
        <v>1</v>
      </c>
      <c r="J47" s="376">
        <v>1</v>
      </c>
      <c r="K47" s="377">
        <v>1</v>
      </c>
      <c r="L47" s="377">
        <v>1</v>
      </c>
      <c r="M47" s="376">
        <v>260</v>
      </c>
      <c r="N47" s="376">
        <v>3</v>
      </c>
      <c r="O47" s="376">
        <v>15</v>
      </c>
      <c r="P47" s="378">
        <f t="shared" si="17"/>
        <v>260</v>
      </c>
      <c r="Q47" s="601">
        <v>1</v>
      </c>
      <c r="R47" s="379">
        <f t="shared" ref="R47:R55" si="21">ROUND(IF(M47&lt;100,0,L47*I47*J47*P47/260*Q47),5)</f>
        <v>1</v>
      </c>
      <c r="S47" s="379">
        <f t="shared" si="6"/>
        <v>1</v>
      </c>
      <c r="T47" s="380">
        <f t="shared" si="14"/>
        <v>932.26</v>
      </c>
      <c r="U47" s="380">
        <f t="shared" si="15"/>
        <v>932.26</v>
      </c>
      <c r="V47" s="380">
        <v>3</v>
      </c>
      <c r="W47" s="380">
        <f t="shared" si="20"/>
        <v>10.76</v>
      </c>
      <c r="X47" s="380">
        <f t="shared" si="18"/>
        <v>921.5</v>
      </c>
      <c r="Y47" s="380">
        <f>SUM(X46:X47)</f>
        <v>1789.8400000000001</v>
      </c>
    </row>
    <row r="48" spans="1:25" x14ac:dyDescent="0.2">
      <c r="A48" s="276">
        <v>20</v>
      </c>
      <c r="B48" s="275" t="s">
        <v>99</v>
      </c>
      <c r="C48" s="275" t="s">
        <v>64</v>
      </c>
      <c r="D48" s="271">
        <v>1102</v>
      </c>
      <c r="E48" s="669" t="s">
        <v>124</v>
      </c>
      <c r="F48" s="275" t="s">
        <v>91</v>
      </c>
      <c r="G48" s="301" t="s">
        <v>47</v>
      </c>
      <c r="H48" s="282"/>
      <c r="I48" s="282">
        <f t="shared" si="19"/>
        <v>0.86970000000000003</v>
      </c>
      <c r="J48" s="277">
        <v>1</v>
      </c>
      <c r="K48" s="306">
        <v>1</v>
      </c>
      <c r="L48" s="306">
        <v>1</v>
      </c>
      <c r="M48" s="277">
        <v>260</v>
      </c>
      <c r="N48" s="277"/>
      <c r="O48" s="277"/>
      <c r="P48" s="304">
        <f t="shared" si="17"/>
        <v>260</v>
      </c>
      <c r="Q48" s="278">
        <v>1</v>
      </c>
      <c r="R48" s="307">
        <f t="shared" si="21"/>
        <v>0.86970000000000003</v>
      </c>
      <c r="S48" s="307">
        <f t="shared" si="6"/>
        <v>0.86970000000000003</v>
      </c>
      <c r="T48" s="269">
        <f t="shared" si="14"/>
        <v>810.79</v>
      </c>
      <c r="U48" s="269">
        <f t="shared" si="15"/>
        <v>810.79</v>
      </c>
      <c r="V48" s="269"/>
      <c r="W48" s="269">
        <f t="shared" si="20"/>
        <v>0</v>
      </c>
      <c r="X48" s="644">
        <f t="shared" si="18"/>
        <v>810.79</v>
      </c>
      <c r="Y48" s="644"/>
    </row>
    <row r="49" spans="1:25" s="310" customFormat="1" x14ac:dyDescent="0.2">
      <c r="A49" s="308"/>
      <c r="B49" s="309" t="s">
        <v>99</v>
      </c>
      <c r="C49" s="309" t="s">
        <v>64</v>
      </c>
      <c r="D49" s="310">
        <v>1102</v>
      </c>
      <c r="E49" s="670" t="s">
        <v>124</v>
      </c>
      <c r="F49" s="309" t="s">
        <v>91</v>
      </c>
      <c r="G49" s="312" t="s">
        <v>47</v>
      </c>
      <c r="H49" s="313"/>
      <c r="I49" s="313">
        <f t="shared" si="19"/>
        <v>0.86970000000000003</v>
      </c>
      <c r="J49" s="314">
        <v>1</v>
      </c>
      <c r="K49" s="315">
        <v>1</v>
      </c>
      <c r="L49" s="315">
        <v>1</v>
      </c>
      <c r="M49" s="314">
        <v>260</v>
      </c>
      <c r="N49" s="314"/>
      <c r="O49" s="314"/>
      <c r="P49" s="316">
        <f t="shared" si="17"/>
        <v>260</v>
      </c>
      <c r="Q49" s="317">
        <v>1</v>
      </c>
      <c r="R49" s="318">
        <f t="shared" si="21"/>
        <v>0.86970000000000003</v>
      </c>
      <c r="S49" s="318">
        <f t="shared" si="6"/>
        <v>0.86970000000000003</v>
      </c>
      <c r="T49" s="319">
        <f t="shared" si="14"/>
        <v>810.79</v>
      </c>
      <c r="U49" s="319">
        <f t="shared" si="15"/>
        <v>810.79</v>
      </c>
      <c r="V49" s="319"/>
      <c r="W49" s="319">
        <f t="shared" si="20"/>
        <v>0</v>
      </c>
      <c r="X49" s="646">
        <f t="shared" si="18"/>
        <v>810.79</v>
      </c>
      <c r="Y49" s="646">
        <f>SUM(X48:X49)</f>
        <v>1621.58</v>
      </c>
    </row>
    <row r="50" spans="1:25" x14ac:dyDescent="0.2">
      <c r="A50" s="276">
        <v>21</v>
      </c>
      <c r="B50" s="275" t="s">
        <v>86</v>
      </c>
      <c r="C50" s="275" t="s">
        <v>87</v>
      </c>
      <c r="D50" s="271">
        <v>1101</v>
      </c>
      <c r="E50" s="632" t="s">
        <v>152</v>
      </c>
      <c r="F50" s="275" t="s">
        <v>88</v>
      </c>
      <c r="G50" s="301" t="s">
        <v>47</v>
      </c>
      <c r="H50" s="282" t="s">
        <v>409</v>
      </c>
      <c r="I50" s="282">
        <f t="shared" si="19"/>
        <v>0.86970000000000003</v>
      </c>
      <c r="J50" s="277">
        <v>1</v>
      </c>
      <c r="K50" s="306">
        <v>1</v>
      </c>
      <c r="L50" s="306">
        <v>1</v>
      </c>
      <c r="M50" s="277">
        <f>260-42</f>
        <v>218</v>
      </c>
      <c r="N50" s="277">
        <v>4</v>
      </c>
      <c r="O50" s="277">
        <v>4</v>
      </c>
      <c r="P50" s="304">
        <f t="shared" si="17"/>
        <v>218</v>
      </c>
      <c r="Q50" s="278">
        <v>1</v>
      </c>
      <c r="R50" s="307">
        <f t="shared" si="21"/>
        <v>0.72921000000000002</v>
      </c>
      <c r="S50" s="307">
        <f t="shared" si="6"/>
        <v>0.72921000000000002</v>
      </c>
      <c r="T50" s="269">
        <f t="shared" si="14"/>
        <v>679.82</v>
      </c>
      <c r="U50" s="269">
        <f t="shared" si="15"/>
        <v>679.82</v>
      </c>
      <c r="V50" s="269">
        <v>4</v>
      </c>
      <c r="W50" s="269">
        <f t="shared" si="20"/>
        <v>12.47</v>
      </c>
      <c r="X50" s="644">
        <f t="shared" si="18"/>
        <v>667.35</v>
      </c>
      <c r="Y50" s="644"/>
    </row>
    <row r="51" spans="1:25" s="310" customFormat="1" x14ac:dyDescent="0.2">
      <c r="A51" s="308"/>
      <c r="B51" s="309" t="s">
        <v>86</v>
      </c>
      <c r="C51" s="309" t="s">
        <v>87</v>
      </c>
      <c r="D51" s="310">
        <v>1101</v>
      </c>
      <c r="E51" s="402" t="s">
        <v>124</v>
      </c>
      <c r="F51" s="309" t="s">
        <v>88</v>
      </c>
      <c r="G51" s="312" t="s">
        <v>47</v>
      </c>
      <c r="H51" s="313"/>
      <c r="I51" s="313">
        <f t="shared" si="19"/>
        <v>0.86970000000000003</v>
      </c>
      <c r="J51" s="314">
        <v>1</v>
      </c>
      <c r="K51" s="315">
        <v>1</v>
      </c>
      <c r="L51" s="315">
        <v>1</v>
      </c>
      <c r="M51" s="314">
        <f>260-42</f>
        <v>218</v>
      </c>
      <c r="N51" s="314">
        <v>4</v>
      </c>
      <c r="O51" s="314">
        <v>4</v>
      </c>
      <c r="P51" s="316">
        <f t="shared" si="17"/>
        <v>214</v>
      </c>
      <c r="Q51" s="317">
        <v>1</v>
      </c>
      <c r="R51" s="318">
        <f t="shared" si="21"/>
        <v>0.71582999999999997</v>
      </c>
      <c r="S51" s="318">
        <f t="shared" ref="S51:S86" si="22">ROUND(IF(M51&lt;100,0,K51*I51*J51*P51/260*Q51),5)</f>
        <v>0.71582999999999997</v>
      </c>
      <c r="T51" s="319">
        <f t="shared" si="14"/>
        <v>667.34</v>
      </c>
      <c r="U51" s="319">
        <f t="shared" si="15"/>
        <v>667.34</v>
      </c>
      <c r="V51" s="319">
        <v>4</v>
      </c>
      <c r="W51" s="319">
        <f t="shared" si="20"/>
        <v>12.24</v>
      </c>
      <c r="X51" s="646">
        <f t="shared" si="18"/>
        <v>655.1</v>
      </c>
      <c r="Y51" s="646">
        <f>SUM(X50:X51)</f>
        <v>1322.45</v>
      </c>
    </row>
    <row r="52" spans="1:25" x14ac:dyDescent="0.2">
      <c r="A52" s="276">
        <v>22</v>
      </c>
      <c r="B52" s="275" t="s">
        <v>100</v>
      </c>
      <c r="C52" s="275" t="s">
        <v>105</v>
      </c>
      <c r="D52" s="271">
        <v>1101</v>
      </c>
      <c r="E52" s="21" t="s">
        <v>124</v>
      </c>
      <c r="F52" s="275" t="s">
        <v>106</v>
      </c>
      <c r="G52" s="301" t="s">
        <v>47</v>
      </c>
      <c r="H52" s="282"/>
      <c r="I52" s="282">
        <f t="shared" si="19"/>
        <v>0.86970000000000003</v>
      </c>
      <c r="J52" s="277">
        <v>1</v>
      </c>
      <c r="K52" s="306">
        <v>1</v>
      </c>
      <c r="L52" s="306">
        <v>1</v>
      </c>
      <c r="M52" s="277">
        <v>260</v>
      </c>
      <c r="N52" s="277">
        <v>4</v>
      </c>
      <c r="O52" s="277">
        <v>4</v>
      </c>
      <c r="P52" s="304">
        <f t="shared" si="17"/>
        <v>256</v>
      </c>
      <c r="Q52" s="278">
        <v>1</v>
      </c>
      <c r="R52" s="307">
        <f t="shared" si="21"/>
        <v>0.85631999999999997</v>
      </c>
      <c r="S52" s="307">
        <f t="shared" si="22"/>
        <v>0.85631999999999997</v>
      </c>
      <c r="T52" s="269">
        <f t="shared" si="14"/>
        <v>798.32</v>
      </c>
      <c r="U52" s="269">
        <f t="shared" si="15"/>
        <v>798.32</v>
      </c>
      <c r="V52" s="269">
        <v>4</v>
      </c>
      <c r="W52" s="269">
        <f t="shared" si="20"/>
        <v>12.28</v>
      </c>
      <c r="X52" s="644">
        <f>U52-W52</f>
        <v>786.04000000000008</v>
      </c>
      <c r="Y52" s="644"/>
    </row>
    <row r="53" spans="1:25" s="310" customFormat="1" x14ac:dyDescent="0.2">
      <c r="A53" s="308"/>
      <c r="B53" s="309" t="s">
        <v>100</v>
      </c>
      <c r="C53" s="309" t="s">
        <v>105</v>
      </c>
      <c r="D53" s="310">
        <v>1101</v>
      </c>
      <c r="E53" s="402" t="s">
        <v>124</v>
      </c>
      <c r="F53" s="309" t="s">
        <v>106</v>
      </c>
      <c r="G53" s="312" t="s">
        <v>47</v>
      </c>
      <c r="H53" s="313"/>
      <c r="I53" s="313">
        <f t="shared" si="19"/>
        <v>0.86970000000000003</v>
      </c>
      <c r="J53" s="314">
        <v>1</v>
      </c>
      <c r="K53" s="315">
        <v>1</v>
      </c>
      <c r="L53" s="315">
        <v>1</v>
      </c>
      <c r="M53" s="314">
        <v>260</v>
      </c>
      <c r="N53" s="314">
        <v>4</v>
      </c>
      <c r="O53" s="314">
        <v>4</v>
      </c>
      <c r="P53" s="316">
        <f t="shared" si="17"/>
        <v>256</v>
      </c>
      <c r="Q53" s="317">
        <v>1</v>
      </c>
      <c r="R53" s="318">
        <f t="shared" si="21"/>
        <v>0.85631999999999997</v>
      </c>
      <c r="S53" s="318">
        <f t="shared" si="22"/>
        <v>0.85631999999999997</v>
      </c>
      <c r="T53" s="319">
        <f t="shared" si="14"/>
        <v>798.32</v>
      </c>
      <c r="U53" s="319">
        <f t="shared" si="15"/>
        <v>798.32</v>
      </c>
      <c r="V53" s="319">
        <v>4</v>
      </c>
      <c r="W53" s="319">
        <f t="shared" si="20"/>
        <v>12.28</v>
      </c>
      <c r="X53" s="646">
        <f t="shared" si="18"/>
        <v>786.04000000000008</v>
      </c>
      <c r="Y53" s="646">
        <f>SUM(X52:X53)</f>
        <v>1572.0800000000002</v>
      </c>
    </row>
    <row r="54" spans="1:25" ht="18.75" x14ac:dyDescent="0.2">
      <c r="A54" s="276">
        <v>23</v>
      </c>
      <c r="B54" s="275" t="s">
        <v>89</v>
      </c>
      <c r="C54" s="275" t="s">
        <v>90</v>
      </c>
      <c r="D54" s="271">
        <v>1102</v>
      </c>
      <c r="E54" s="21" t="s">
        <v>124</v>
      </c>
      <c r="F54" s="275" t="s">
        <v>91</v>
      </c>
      <c r="G54" s="301" t="s">
        <v>47</v>
      </c>
      <c r="H54" s="282" t="s">
        <v>380</v>
      </c>
      <c r="I54" s="282">
        <f t="shared" si="19"/>
        <v>0.86970000000000003</v>
      </c>
      <c r="J54" s="268">
        <v>1</v>
      </c>
      <c r="K54" s="306">
        <v>1</v>
      </c>
      <c r="L54" s="306">
        <v>1</v>
      </c>
      <c r="M54" s="277">
        <v>260</v>
      </c>
      <c r="N54" s="277">
        <v>4</v>
      </c>
      <c r="O54" s="277">
        <v>4</v>
      </c>
      <c r="P54" s="304">
        <f t="shared" si="17"/>
        <v>256</v>
      </c>
      <c r="Q54" s="278">
        <f>1/12*7+0.7222/12*5</f>
        <v>0.88424999999999998</v>
      </c>
      <c r="R54" s="307">
        <f t="shared" si="21"/>
        <v>0.75719999999999998</v>
      </c>
      <c r="S54" s="307">
        <f>ROUND(IF((M54)&lt;100,0,K54*I54*J54*P54/260*Q54),5)</f>
        <v>0.75719999999999998</v>
      </c>
      <c r="T54" s="269">
        <f t="shared" si="14"/>
        <v>705.91</v>
      </c>
      <c r="U54" s="269">
        <f t="shared" si="15"/>
        <v>705.91</v>
      </c>
      <c r="V54" s="269">
        <v>4</v>
      </c>
      <c r="W54" s="269">
        <f t="shared" si="20"/>
        <v>10.86</v>
      </c>
      <c r="X54" s="644">
        <f t="shared" si="18"/>
        <v>695.05</v>
      </c>
      <c r="Y54" s="644"/>
    </row>
    <row r="55" spans="1:25" s="310" customFormat="1" ht="18.75" x14ac:dyDescent="0.2">
      <c r="A55" s="308"/>
      <c r="B55" s="309" t="s">
        <v>89</v>
      </c>
      <c r="C55" s="309" t="s">
        <v>90</v>
      </c>
      <c r="D55" s="310">
        <v>1102</v>
      </c>
      <c r="E55" s="402" t="s">
        <v>124</v>
      </c>
      <c r="F55" s="309" t="s">
        <v>91</v>
      </c>
      <c r="G55" s="312" t="s">
        <v>47</v>
      </c>
      <c r="H55" s="313" t="s">
        <v>380</v>
      </c>
      <c r="I55" s="313">
        <f t="shared" si="19"/>
        <v>0.86970000000000003</v>
      </c>
      <c r="J55" s="314">
        <v>1</v>
      </c>
      <c r="K55" s="315">
        <v>1</v>
      </c>
      <c r="L55" s="315">
        <v>1</v>
      </c>
      <c r="M55" s="314">
        <v>260</v>
      </c>
      <c r="N55" s="314">
        <v>4</v>
      </c>
      <c r="O55" s="314">
        <v>4</v>
      </c>
      <c r="P55" s="316">
        <f t="shared" si="17"/>
        <v>256</v>
      </c>
      <c r="Q55" s="278">
        <f>1/12*7+0.7222/12*5</f>
        <v>0.88424999999999998</v>
      </c>
      <c r="R55" s="318">
        <f t="shared" si="21"/>
        <v>0.75719999999999998</v>
      </c>
      <c r="S55" s="318">
        <f>ROUND(IF((M55)&lt;100,0,K55*I55*J55*P55/260*Q55),5)</f>
        <v>0.75719999999999998</v>
      </c>
      <c r="T55" s="319">
        <f t="shared" si="14"/>
        <v>705.91</v>
      </c>
      <c r="U55" s="319">
        <f t="shared" si="15"/>
        <v>705.91</v>
      </c>
      <c r="V55" s="319">
        <v>4</v>
      </c>
      <c r="W55" s="319">
        <f t="shared" si="20"/>
        <v>10.86</v>
      </c>
      <c r="X55" s="646">
        <f t="shared" si="18"/>
        <v>695.05</v>
      </c>
      <c r="Y55" s="646">
        <f>SUM(X54:X55)</f>
        <v>1390.1</v>
      </c>
    </row>
    <row r="56" spans="1:25" x14ac:dyDescent="0.2">
      <c r="A56" s="276">
        <v>24</v>
      </c>
      <c r="B56" s="265" t="s">
        <v>275</v>
      </c>
      <c r="C56" s="265" t="s">
        <v>276</v>
      </c>
      <c r="D56" s="266">
        <v>1102</v>
      </c>
      <c r="E56" s="632" t="s">
        <v>152</v>
      </c>
      <c r="F56" s="265" t="s">
        <v>67</v>
      </c>
      <c r="G56" s="301" t="s">
        <v>47</v>
      </c>
      <c r="H56" s="279" t="s">
        <v>381</v>
      </c>
      <c r="I56" s="282">
        <f t="shared" si="19"/>
        <v>0.86970000000000003</v>
      </c>
      <c r="J56" s="277">
        <v>1</v>
      </c>
      <c r="K56" s="306">
        <v>1</v>
      </c>
      <c r="L56" s="306">
        <v>1</v>
      </c>
      <c r="M56" s="277">
        <v>260</v>
      </c>
      <c r="N56" s="277"/>
      <c r="O56" s="277"/>
      <c r="P56" s="304">
        <f t="shared" si="17"/>
        <v>260</v>
      </c>
      <c r="Q56" s="278">
        <f>1/12*7+0.5/12*5</f>
        <v>0.79166666666666652</v>
      </c>
      <c r="R56" s="307">
        <f>ROUND(IF(M56&lt;100,0,I56*J56*P56/260*Q56),5)</f>
        <v>0.68850999999999996</v>
      </c>
      <c r="S56" s="307">
        <f t="shared" si="22"/>
        <v>0.68850999999999996</v>
      </c>
      <c r="T56" s="269">
        <f t="shared" si="14"/>
        <v>641.87</v>
      </c>
      <c r="U56" s="269">
        <f t="shared" si="15"/>
        <v>641.87</v>
      </c>
      <c r="V56" s="269"/>
      <c r="W56" s="269">
        <f t="shared" si="20"/>
        <v>0</v>
      </c>
      <c r="X56" s="644">
        <f t="shared" si="18"/>
        <v>641.87</v>
      </c>
      <c r="Y56" s="644"/>
    </row>
    <row r="57" spans="1:25" s="310" customFormat="1" x14ac:dyDescent="0.2">
      <c r="A57" s="308"/>
      <c r="B57" s="309" t="s">
        <v>275</v>
      </c>
      <c r="C57" s="309" t="s">
        <v>276</v>
      </c>
      <c r="D57" s="311">
        <v>1102</v>
      </c>
      <c r="E57" s="632" t="s">
        <v>152</v>
      </c>
      <c r="F57" s="321" t="s">
        <v>67</v>
      </c>
      <c r="G57" s="312" t="s">
        <v>47</v>
      </c>
      <c r="H57" s="279" t="s">
        <v>381</v>
      </c>
      <c r="I57" s="313">
        <f t="shared" si="19"/>
        <v>0.86970000000000003</v>
      </c>
      <c r="J57" s="314">
        <v>1</v>
      </c>
      <c r="K57" s="315">
        <v>1</v>
      </c>
      <c r="L57" s="315">
        <v>1</v>
      </c>
      <c r="M57" s="314">
        <v>260</v>
      </c>
      <c r="N57" s="314"/>
      <c r="O57" s="314"/>
      <c r="P57" s="316">
        <f t="shared" si="17"/>
        <v>260</v>
      </c>
      <c r="Q57" s="278">
        <f>1/12*7+0.5/12*5</f>
        <v>0.79166666666666652</v>
      </c>
      <c r="R57" s="318">
        <f>ROUND(IF(M57&lt;100,0,I57*J57*P57/260*Q57),5)</f>
        <v>0.68850999999999996</v>
      </c>
      <c r="S57" s="318">
        <f t="shared" si="22"/>
        <v>0.68850999999999996</v>
      </c>
      <c r="T57" s="319">
        <f t="shared" si="14"/>
        <v>641.87</v>
      </c>
      <c r="U57" s="319">
        <f t="shared" si="15"/>
        <v>641.87</v>
      </c>
      <c r="V57" s="319"/>
      <c r="W57" s="319">
        <f t="shared" si="20"/>
        <v>0</v>
      </c>
      <c r="X57" s="646">
        <f t="shared" si="18"/>
        <v>641.87</v>
      </c>
      <c r="Y57" s="646">
        <f>SUM(X56:X57)</f>
        <v>1283.74</v>
      </c>
    </row>
    <row r="58" spans="1:25" s="266" customFormat="1" x14ac:dyDescent="0.2">
      <c r="A58" s="465">
        <v>25</v>
      </c>
      <c r="B58" s="265" t="s">
        <v>92</v>
      </c>
      <c r="C58" s="265" t="s">
        <v>93</v>
      </c>
      <c r="D58" s="266">
        <v>1101</v>
      </c>
      <c r="E58" s="21" t="s">
        <v>124</v>
      </c>
      <c r="F58" s="265" t="s">
        <v>84</v>
      </c>
      <c r="G58" s="322" t="s">
        <v>47</v>
      </c>
      <c r="H58" s="282" t="s">
        <v>382</v>
      </c>
      <c r="I58" s="282">
        <f t="shared" si="19"/>
        <v>0.86970000000000003</v>
      </c>
      <c r="J58" s="268">
        <v>1</v>
      </c>
      <c r="K58" s="459">
        <v>1</v>
      </c>
      <c r="L58" s="459">
        <v>1</v>
      </c>
      <c r="M58" s="268">
        <f>ROUND((365-15)/365*260,0)</f>
        <v>249</v>
      </c>
      <c r="N58" s="268">
        <v>3</v>
      </c>
      <c r="O58" s="268">
        <v>12</v>
      </c>
      <c r="P58" s="460">
        <f t="shared" si="17"/>
        <v>237</v>
      </c>
      <c r="Q58" s="456">
        <v>1</v>
      </c>
      <c r="R58" s="466">
        <f>ROUND(IF(M58&lt;100,0,L58*I58*J58*P58/260*Q58),5)</f>
        <v>0.79276999999999997</v>
      </c>
      <c r="S58" s="466">
        <f>ROUND(IF(M58&lt;100,0,K58*I58*J58*P58/260*Q58),5)</f>
        <v>0.79276999999999997</v>
      </c>
      <c r="T58" s="269">
        <f t="shared" si="14"/>
        <v>739.07</v>
      </c>
      <c r="U58" s="269">
        <f t="shared" si="15"/>
        <v>739.07</v>
      </c>
      <c r="V58" s="269">
        <v>3</v>
      </c>
      <c r="W58" s="269">
        <f t="shared" si="20"/>
        <v>8.9</v>
      </c>
      <c r="X58" s="644">
        <f t="shared" si="18"/>
        <v>730.17000000000007</v>
      </c>
      <c r="Y58" s="644"/>
    </row>
    <row r="59" spans="1:25" s="311" customFormat="1" x14ac:dyDescent="0.2">
      <c r="A59" s="462"/>
      <c r="B59" s="321" t="s">
        <v>92</v>
      </c>
      <c r="C59" s="321" t="s">
        <v>93</v>
      </c>
      <c r="D59" s="311">
        <v>1101</v>
      </c>
      <c r="E59" s="402" t="s">
        <v>124</v>
      </c>
      <c r="F59" s="321" t="s">
        <v>84</v>
      </c>
      <c r="G59" s="323" t="s">
        <v>47</v>
      </c>
      <c r="H59" s="313" t="s">
        <v>382</v>
      </c>
      <c r="I59" s="313">
        <f t="shared" si="19"/>
        <v>0.86970000000000003</v>
      </c>
      <c r="J59" s="320">
        <v>1</v>
      </c>
      <c r="K59" s="463">
        <v>1</v>
      </c>
      <c r="L59" s="463">
        <v>1</v>
      </c>
      <c r="M59" s="320">
        <v>249</v>
      </c>
      <c r="N59" s="320">
        <v>3</v>
      </c>
      <c r="O59" s="320">
        <v>12</v>
      </c>
      <c r="P59" s="464">
        <f t="shared" si="17"/>
        <v>237</v>
      </c>
      <c r="Q59" s="600">
        <v>1</v>
      </c>
      <c r="R59" s="461">
        <f>ROUND(IF(M59&lt;100,0,L59*I59*J59*P59/260*Q59),5)</f>
        <v>0.79276999999999997</v>
      </c>
      <c r="S59" s="461">
        <f>ROUND(IF(M59&lt;100,0,K59*I59*J59*P59/260*Q59),5)</f>
        <v>0.79276999999999997</v>
      </c>
      <c r="T59" s="319">
        <f t="shared" si="14"/>
        <v>739.07</v>
      </c>
      <c r="U59" s="319">
        <f t="shared" si="15"/>
        <v>739.07</v>
      </c>
      <c r="V59" s="319">
        <v>3</v>
      </c>
      <c r="W59" s="319">
        <f t="shared" si="20"/>
        <v>8.9</v>
      </c>
      <c r="X59" s="646">
        <f t="shared" si="18"/>
        <v>730.17000000000007</v>
      </c>
      <c r="Y59" s="646">
        <f>SUM(X58:X59)</f>
        <v>1460.3400000000001</v>
      </c>
    </row>
    <row r="60" spans="1:25" x14ac:dyDescent="0.2">
      <c r="A60" s="276">
        <v>26</v>
      </c>
      <c r="B60" s="275" t="s">
        <v>94</v>
      </c>
      <c r="C60" s="275" t="s">
        <v>95</v>
      </c>
      <c r="D60" s="271">
        <v>1102</v>
      </c>
      <c r="E60" s="21" t="s">
        <v>124</v>
      </c>
      <c r="F60" s="275" t="s">
        <v>91</v>
      </c>
      <c r="G60" s="301" t="s">
        <v>47</v>
      </c>
      <c r="H60" s="282"/>
      <c r="I60" s="282">
        <f t="shared" si="19"/>
        <v>0.86970000000000003</v>
      </c>
      <c r="J60" s="277">
        <v>1</v>
      </c>
      <c r="K60" s="306">
        <v>1</v>
      </c>
      <c r="L60" s="306">
        <v>1</v>
      </c>
      <c r="M60" s="277">
        <v>260</v>
      </c>
      <c r="N60" s="277">
        <v>11</v>
      </c>
      <c r="O60" s="277">
        <v>11</v>
      </c>
      <c r="P60" s="304">
        <f t="shared" si="17"/>
        <v>249</v>
      </c>
      <c r="Q60" s="278">
        <v>1</v>
      </c>
      <c r="R60" s="307">
        <f t="shared" ref="R60:R65" si="23">ROUND(IF(M60&lt;100,0,L60*I60*J60*P60/260*Q60),5)</f>
        <v>0.83291000000000004</v>
      </c>
      <c r="S60" s="307">
        <f t="shared" si="22"/>
        <v>0.83291000000000004</v>
      </c>
      <c r="T60" s="269">
        <f t="shared" si="14"/>
        <v>776.49</v>
      </c>
      <c r="U60" s="269">
        <f t="shared" si="15"/>
        <v>776.49</v>
      </c>
      <c r="V60" s="269">
        <v>7</v>
      </c>
      <c r="W60" s="269">
        <f t="shared" si="20"/>
        <v>20.91</v>
      </c>
      <c r="X60" s="644">
        <f t="shared" si="18"/>
        <v>755.58</v>
      </c>
      <c r="Y60" s="644"/>
    </row>
    <row r="61" spans="1:25" s="310" customFormat="1" x14ac:dyDescent="0.2">
      <c r="A61" s="308"/>
      <c r="B61" s="309" t="s">
        <v>94</v>
      </c>
      <c r="C61" s="309" t="s">
        <v>95</v>
      </c>
      <c r="D61" s="310">
        <v>1102</v>
      </c>
      <c r="E61" s="638" t="s">
        <v>124</v>
      </c>
      <c r="F61" s="309" t="s">
        <v>91</v>
      </c>
      <c r="G61" s="312" t="s">
        <v>47</v>
      </c>
      <c r="H61" s="313"/>
      <c r="I61" s="313">
        <f t="shared" si="19"/>
        <v>0.86970000000000003</v>
      </c>
      <c r="J61" s="314">
        <v>1</v>
      </c>
      <c r="K61" s="315">
        <v>1</v>
      </c>
      <c r="L61" s="315">
        <v>1</v>
      </c>
      <c r="M61" s="314">
        <v>260</v>
      </c>
      <c r="N61" s="314">
        <v>11</v>
      </c>
      <c r="O61" s="314">
        <v>11</v>
      </c>
      <c r="P61" s="316">
        <f t="shared" si="17"/>
        <v>249</v>
      </c>
      <c r="Q61" s="317">
        <v>1</v>
      </c>
      <c r="R61" s="318">
        <f t="shared" si="23"/>
        <v>0.83291000000000004</v>
      </c>
      <c r="S61" s="318">
        <f t="shared" si="22"/>
        <v>0.83291000000000004</v>
      </c>
      <c r="T61" s="319">
        <f t="shared" si="14"/>
        <v>776.49</v>
      </c>
      <c r="U61" s="319">
        <f t="shared" si="15"/>
        <v>776.49</v>
      </c>
      <c r="V61" s="319">
        <v>7</v>
      </c>
      <c r="W61" s="319">
        <f t="shared" si="20"/>
        <v>20.91</v>
      </c>
      <c r="X61" s="646">
        <f t="shared" si="18"/>
        <v>755.58</v>
      </c>
      <c r="Y61" s="646">
        <f>SUM(X60:X61)</f>
        <v>1511.16</v>
      </c>
    </row>
    <row r="62" spans="1:25" customFormat="1" ht="18.75" x14ac:dyDescent="0.2">
      <c r="A62" s="31">
        <v>27</v>
      </c>
      <c r="B62" s="146" t="s">
        <v>307</v>
      </c>
      <c r="C62" s="146" t="s">
        <v>64</v>
      </c>
      <c r="D62">
        <v>1102</v>
      </c>
      <c r="E62" s="632" t="s">
        <v>152</v>
      </c>
      <c r="F62" s="30" t="s">
        <v>91</v>
      </c>
      <c r="G62" s="401" t="s">
        <v>47</v>
      </c>
      <c r="H62" s="144" t="s">
        <v>383</v>
      </c>
      <c r="I62" s="144">
        <f>VLOOKUP(G62,tabella3,2)</f>
        <v>0.86970000000000003</v>
      </c>
      <c r="J62" s="39">
        <v>1</v>
      </c>
      <c r="K62" s="390">
        <v>1</v>
      </c>
      <c r="L62" s="306">
        <v>1</v>
      </c>
      <c r="M62" s="39">
        <f>ROUND((31+28+31+30+31+30+31+31)/365*260,0)</f>
        <v>173</v>
      </c>
      <c r="N62" s="39">
        <v>6</v>
      </c>
      <c r="O62" s="39">
        <v>6</v>
      </c>
      <c r="P62" s="391">
        <f>IF(E62="GRUPPO",M62-O62,M62)</f>
        <v>173</v>
      </c>
      <c r="Q62" s="278">
        <f>1/8*5+0.7222/8*3</f>
        <v>0.89582499999999998</v>
      </c>
      <c r="R62" s="392">
        <f t="shared" si="23"/>
        <v>0.51839999999999997</v>
      </c>
      <c r="S62" s="392">
        <f>ROUND(IF(M62&lt;100,0,K62*I62*J62*P62/260*Q62),5)</f>
        <v>0.51839999999999997</v>
      </c>
      <c r="T62" s="40">
        <f t="shared" si="14"/>
        <v>483.29</v>
      </c>
      <c r="U62" s="40">
        <f t="shared" si="15"/>
        <v>483.29</v>
      </c>
      <c r="V62" s="40">
        <v>6</v>
      </c>
      <c r="W62" s="40">
        <f>ROUND(T62/M62*V62,2)</f>
        <v>16.760000000000002</v>
      </c>
      <c r="X62" s="636">
        <f>U62-W62</f>
        <v>466.53000000000003</v>
      </c>
      <c r="Y62" s="636"/>
    </row>
    <row r="63" spans="1:25" s="118" customFormat="1" ht="18.75" x14ac:dyDescent="0.2">
      <c r="A63" s="149"/>
      <c r="B63" s="393" t="s">
        <v>307</v>
      </c>
      <c r="C63" s="393" t="s">
        <v>64</v>
      </c>
      <c r="D63" s="118">
        <v>1102</v>
      </c>
      <c r="E63" s="638" t="s">
        <v>152</v>
      </c>
      <c r="F63" s="150" t="s">
        <v>91</v>
      </c>
      <c r="G63" s="394" t="s">
        <v>47</v>
      </c>
      <c r="H63" s="395" t="s">
        <v>383</v>
      </c>
      <c r="I63" s="395">
        <f>VLOOKUP(G63,tabella3,2)</f>
        <v>0.86970000000000003</v>
      </c>
      <c r="J63" s="396">
        <v>1</v>
      </c>
      <c r="K63" s="397">
        <v>1</v>
      </c>
      <c r="L63" s="315">
        <v>1</v>
      </c>
      <c r="M63" s="396">
        <v>173</v>
      </c>
      <c r="N63" s="396">
        <v>6</v>
      </c>
      <c r="O63" s="396">
        <v>6</v>
      </c>
      <c r="P63" s="398">
        <f>IF(E63="GRUPPO",M63-O63,M63)</f>
        <v>173</v>
      </c>
      <c r="Q63" s="278">
        <f>1/8*5+0.7222/8*3</f>
        <v>0.89582499999999998</v>
      </c>
      <c r="R63" s="400">
        <f t="shared" si="23"/>
        <v>0.51839999999999997</v>
      </c>
      <c r="S63" s="400">
        <f>ROUND(IF(M63&lt;100,0,K63*I63*J63*P63/260*Q63),5)</f>
        <v>0.51839999999999997</v>
      </c>
      <c r="T63" s="153">
        <f t="shared" si="14"/>
        <v>483.29</v>
      </c>
      <c r="U63" s="153">
        <f t="shared" si="15"/>
        <v>483.29</v>
      </c>
      <c r="V63" s="153">
        <v>6</v>
      </c>
      <c r="W63" s="153">
        <f>ROUND(T63/M63*V63,2)</f>
        <v>16.760000000000002</v>
      </c>
      <c r="X63" s="642">
        <f>U63-W63</f>
        <v>466.53000000000003</v>
      </c>
      <c r="Y63" s="642">
        <f>SUM(X62:X63)</f>
        <v>933.06000000000006</v>
      </c>
    </row>
    <row r="64" spans="1:25" x14ac:dyDescent="0.2">
      <c r="A64" s="276">
        <v>28</v>
      </c>
      <c r="B64" s="275" t="s">
        <v>96</v>
      </c>
      <c r="C64" s="275" t="s">
        <v>97</v>
      </c>
      <c r="D64" s="271">
        <v>1102</v>
      </c>
      <c r="E64" s="632" t="s">
        <v>124</v>
      </c>
      <c r="F64" s="275" t="s">
        <v>98</v>
      </c>
      <c r="G64" s="301" t="s">
        <v>47</v>
      </c>
      <c r="H64" s="282"/>
      <c r="I64" s="282">
        <f t="shared" si="19"/>
        <v>0.86970000000000003</v>
      </c>
      <c r="J64" s="277">
        <v>1</v>
      </c>
      <c r="K64" s="306">
        <v>1</v>
      </c>
      <c r="L64" s="306">
        <v>1</v>
      </c>
      <c r="M64" s="277">
        <v>260</v>
      </c>
      <c r="N64" s="277">
        <v>10</v>
      </c>
      <c r="O64" s="277">
        <v>10</v>
      </c>
      <c r="P64" s="304">
        <f t="shared" si="17"/>
        <v>250</v>
      </c>
      <c r="Q64" s="278">
        <v>1</v>
      </c>
      <c r="R64" s="307">
        <f t="shared" si="23"/>
        <v>0.83625000000000005</v>
      </c>
      <c r="S64" s="307">
        <f t="shared" si="22"/>
        <v>0.83625000000000005</v>
      </c>
      <c r="T64" s="269">
        <f t="shared" si="14"/>
        <v>779.61</v>
      </c>
      <c r="U64" s="269">
        <f t="shared" si="15"/>
        <v>779.61</v>
      </c>
      <c r="V64" s="269">
        <v>8</v>
      </c>
      <c r="W64" s="269">
        <f t="shared" si="20"/>
        <v>23.99</v>
      </c>
      <c r="X64" s="644">
        <f t="shared" si="18"/>
        <v>755.62</v>
      </c>
      <c r="Y64" s="644"/>
    </row>
    <row r="65" spans="1:25" s="310" customFormat="1" x14ac:dyDescent="0.2">
      <c r="A65" s="308"/>
      <c r="B65" s="309" t="s">
        <v>96</v>
      </c>
      <c r="C65" s="309" t="s">
        <v>97</v>
      </c>
      <c r="D65" s="310">
        <v>1102</v>
      </c>
      <c r="E65" s="638" t="s">
        <v>124</v>
      </c>
      <c r="F65" s="309" t="s">
        <v>98</v>
      </c>
      <c r="G65" s="312" t="s">
        <v>47</v>
      </c>
      <c r="H65" s="313"/>
      <c r="I65" s="313">
        <f t="shared" si="19"/>
        <v>0.86970000000000003</v>
      </c>
      <c r="J65" s="314">
        <v>1</v>
      </c>
      <c r="K65" s="315">
        <v>1</v>
      </c>
      <c r="L65" s="315">
        <v>1</v>
      </c>
      <c r="M65" s="314">
        <v>260</v>
      </c>
      <c r="N65" s="314">
        <v>10</v>
      </c>
      <c r="O65" s="314">
        <v>10</v>
      </c>
      <c r="P65" s="316">
        <f t="shared" ref="P65:P77" si="24">IF(E65="GRUPPO",M65-O65,M65)</f>
        <v>250</v>
      </c>
      <c r="Q65" s="317">
        <v>1</v>
      </c>
      <c r="R65" s="318">
        <f t="shared" si="23"/>
        <v>0.83625000000000005</v>
      </c>
      <c r="S65" s="318">
        <f t="shared" si="22"/>
        <v>0.83625000000000005</v>
      </c>
      <c r="T65" s="319">
        <f t="shared" si="14"/>
        <v>779.61</v>
      </c>
      <c r="U65" s="319">
        <f t="shared" si="15"/>
        <v>779.61</v>
      </c>
      <c r="V65" s="319">
        <v>8</v>
      </c>
      <c r="W65" s="319">
        <f t="shared" si="20"/>
        <v>23.99</v>
      </c>
      <c r="X65" s="646">
        <f t="shared" si="18"/>
        <v>755.62</v>
      </c>
      <c r="Y65" s="646">
        <f>SUM(X64:X65)</f>
        <v>1511.24</v>
      </c>
    </row>
    <row r="66" spans="1:25" ht="11.25" customHeight="1" x14ac:dyDescent="0.2">
      <c r="A66" s="276">
        <v>29</v>
      </c>
      <c r="B66" s="275" t="s">
        <v>107</v>
      </c>
      <c r="C66" s="275" t="s">
        <v>108</v>
      </c>
      <c r="D66" s="271">
        <v>1102</v>
      </c>
      <c r="E66" s="632" t="s">
        <v>152</v>
      </c>
      <c r="F66" s="275" t="s">
        <v>139</v>
      </c>
      <c r="G66" s="301" t="s">
        <v>47</v>
      </c>
      <c r="H66" s="282"/>
      <c r="I66" s="282">
        <f t="shared" si="19"/>
        <v>0.86970000000000003</v>
      </c>
      <c r="J66" s="277">
        <v>1</v>
      </c>
      <c r="K66" s="306">
        <v>1</v>
      </c>
      <c r="L66" s="306">
        <v>1</v>
      </c>
      <c r="M66" s="277">
        <v>260</v>
      </c>
      <c r="N66" s="277"/>
      <c r="O66" s="277"/>
      <c r="P66" s="304">
        <f t="shared" si="24"/>
        <v>260</v>
      </c>
      <c r="Q66" s="278">
        <v>1</v>
      </c>
      <c r="R66" s="307">
        <f t="shared" ref="R66:R77" si="25">ROUND(IF(M66&lt;100,0,L66*I66*J66*P66/260*Q66),5)</f>
        <v>0.86970000000000003</v>
      </c>
      <c r="S66" s="307">
        <f t="shared" si="22"/>
        <v>0.86970000000000003</v>
      </c>
      <c r="T66" s="269">
        <f t="shared" si="14"/>
        <v>810.79</v>
      </c>
      <c r="U66" s="269">
        <f t="shared" si="15"/>
        <v>810.79</v>
      </c>
      <c r="V66" s="269"/>
      <c r="W66" s="269">
        <f t="shared" si="20"/>
        <v>0</v>
      </c>
      <c r="X66" s="644">
        <f t="shared" si="18"/>
        <v>810.79</v>
      </c>
      <c r="Y66" s="644"/>
    </row>
    <row r="67" spans="1:25" s="310" customFormat="1" x14ac:dyDescent="0.2">
      <c r="A67" s="308"/>
      <c r="B67" s="309" t="s">
        <v>107</v>
      </c>
      <c r="C67" s="309" t="s">
        <v>108</v>
      </c>
      <c r="D67" s="310">
        <v>1102</v>
      </c>
      <c r="E67" s="638" t="s">
        <v>152</v>
      </c>
      <c r="F67" s="309" t="s">
        <v>139</v>
      </c>
      <c r="G67" s="312" t="s">
        <v>47</v>
      </c>
      <c r="H67" s="313"/>
      <c r="I67" s="313">
        <f t="shared" si="19"/>
        <v>0.86970000000000003</v>
      </c>
      <c r="J67" s="314">
        <v>1</v>
      </c>
      <c r="K67" s="315">
        <v>1</v>
      </c>
      <c r="L67" s="315">
        <v>1</v>
      </c>
      <c r="M67" s="314">
        <v>260</v>
      </c>
      <c r="N67" s="314"/>
      <c r="O67" s="314"/>
      <c r="P67" s="316">
        <f t="shared" si="24"/>
        <v>260</v>
      </c>
      <c r="Q67" s="317">
        <v>1</v>
      </c>
      <c r="R67" s="318">
        <f t="shared" si="25"/>
        <v>0.86970000000000003</v>
      </c>
      <c r="S67" s="318">
        <f t="shared" si="22"/>
        <v>0.86970000000000003</v>
      </c>
      <c r="T67" s="319">
        <f t="shared" si="14"/>
        <v>810.79</v>
      </c>
      <c r="U67" s="319">
        <f t="shared" si="15"/>
        <v>810.79</v>
      </c>
      <c r="V67" s="319"/>
      <c r="W67" s="319">
        <f t="shared" si="20"/>
        <v>0</v>
      </c>
      <c r="X67" s="646">
        <f t="shared" si="18"/>
        <v>810.79</v>
      </c>
      <c r="Y67" s="646">
        <f>SUM(X66:X67)</f>
        <v>1621.58</v>
      </c>
    </row>
    <row r="68" spans="1:25" s="272" customFormat="1" x14ac:dyDescent="0.2">
      <c r="A68" s="276">
        <v>30</v>
      </c>
      <c r="B68" s="275" t="s">
        <v>82</v>
      </c>
      <c r="C68" s="275" t="s">
        <v>83</v>
      </c>
      <c r="D68" s="271">
        <v>1101</v>
      </c>
      <c r="E68" s="21" t="s">
        <v>124</v>
      </c>
      <c r="F68" s="275" t="s">
        <v>140</v>
      </c>
      <c r="G68" s="301" t="s">
        <v>85</v>
      </c>
      <c r="H68" s="282"/>
      <c r="I68" s="282">
        <f t="shared" si="19"/>
        <v>1</v>
      </c>
      <c r="J68" s="277">
        <v>1</v>
      </c>
      <c r="K68" s="306">
        <v>1</v>
      </c>
      <c r="L68" s="306">
        <v>1</v>
      </c>
      <c r="M68" s="277">
        <v>260</v>
      </c>
      <c r="N68" s="277">
        <v>1</v>
      </c>
      <c r="O68" s="277">
        <v>1</v>
      </c>
      <c r="P68" s="304">
        <f t="shared" si="24"/>
        <v>259</v>
      </c>
      <c r="Q68" s="278">
        <v>1</v>
      </c>
      <c r="R68" s="307">
        <f t="shared" si="25"/>
        <v>0.99614999999999998</v>
      </c>
      <c r="S68" s="307">
        <f t="shared" si="22"/>
        <v>0.99614999999999998</v>
      </c>
      <c r="T68" s="269">
        <f t="shared" ref="T68:T99" si="26">ROUND($D$107*S68,2)</f>
        <v>928.67</v>
      </c>
      <c r="U68" s="269">
        <f t="shared" ref="U68:U102" si="27">ROUND($D$107*R68,2)</f>
        <v>928.67</v>
      </c>
      <c r="V68" s="269">
        <v>1</v>
      </c>
      <c r="W68" s="269">
        <f t="shared" si="20"/>
        <v>3.57</v>
      </c>
      <c r="X68" s="644">
        <f t="shared" si="18"/>
        <v>925.09999999999991</v>
      </c>
      <c r="Y68" s="644"/>
    </row>
    <row r="69" spans="1:25" s="310" customFormat="1" x14ac:dyDescent="0.2">
      <c r="A69" s="308"/>
      <c r="B69" s="309" t="s">
        <v>82</v>
      </c>
      <c r="C69" s="309" t="s">
        <v>83</v>
      </c>
      <c r="D69" s="310">
        <v>1101</v>
      </c>
      <c r="E69" s="638" t="s">
        <v>124</v>
      </c>
      <c r="F69" s="309" t="s">
        <v>140</v>
      </c>
      <c r="G69" s="312" t="s">
        <v>85</v>
      </c>
      <c r="H69" s="313"/>
      <c r="I69" s="313">
        <f t="shared" si="19"/>
        <v>1</v>
      </c>
      <c r="J69" s="314">
        <v>1</v>
      </c>
      <c r="K69" s="315">
        <v>1</v>
      </c>
      <c r="L69" s="315">
        <v>1</v>
      </c>
      <c r="M69" s="314">
        <v>260</v>
      </c>
      <c r="N69" s="314">
        <v>1</v>
      </c>
      <c r="O69" s="314">
        <v>1</v>
      </c>
      <c r="P69" s="316">
        <f t="shared" si="24"/>
        <v>259</v>
      </c>
      <c r="Q69" s="317">
        <v>1</v>
      </c>
      <c r="R69" s="318">
        <f t="shared" si="25"/>
        <v>0.99614999999999998</v>
      </c>
      <c r="S69" s="318">
        <f t="shared" si="22"/>
        <v>0.99614999999999998</v>
      </c>
      <c r="T69" s="319">
        <f t="shared" si="26"/>
        <v>928.67</v>
      </c>
      <c r="U69" s="319">
        <f t="shared" si="27"/>
        <v>928.67</v>
      </c>
      <c r="V69" s="319">
        <v>1</v>
      </c>
      <c r="W69" s="319">
        <f t="shared" si="20"/>
        <v>3.57</v>
      </c>
      <c r="X69" s="646">
        <f t="shared" si="18"/>
        <v>925.09999999999991</v>
      </c>
      <c r="Y69" s="646">
        <f>SUM(X68:X69)</f>
        <v>1850.1999999999998</v>
      </c>
    </row>
    <row r="70" spans="1:25" s="272" customFormat="1" x14ac:dyDescent="0.2">
      <c r="A70" s="276">
        <v>31</v>
      </c>
      <c r="B70" s="275" t="s">
        <v>100</v>
      </c>
      <c r="C70" s="275" t="s">
        <v>101</v>
      </c>
      <c r="D70" s="271">
        <v>1102</v>
      </c>
      <c r="E70" s="632" t="s">
        <v>124</v>
      </c>
      <c r="F70" s="275" t="s">
        <v>102</v>
      </c>
      <c r="G70" s="301" t="s">
        <v>85</v>
      </c>
      <c r="H70" s="282"/>
      <c r="I70" s="282">
        <f t="shared" si="19"/>
        <v>1</v>
      </c>
      <c r="J70" s="277">
        <v>1</v>
      </c>
      <c r="K70" s="306">
        <v>1</v>
      </c>
      <c r="L70" s="306">
        <v>1</v>
      </c>
      <c r="M70" s="277">
        <v>260</v>
      </c>
      <c r="N70" s="277">
        <v>3</v>
      </c>
      <c r="O70" s="277">
        <v>3</v>
      </c>
      <c r="P70" s="304">
        <f t="shared" si="24"/>
        <v>257</v>
      </c>
      <c r="Q70" s="278">
        <v>1</v>
      </c>
      <c r="R70" s="307">
        <f t="shared" si="25"/>
        <v>0.98846000000000001</v>
      </c>
      <c r="S70" s="307">
        <f t="shared" si="22"/>
        <v>0.98846000000000001</v>
      </c>
      <c r="T70" s="269">
        <f t="shared" si="26"/>
        <v>921.51</v>
      </c>
      <c r="U70" s="269">
        <f t="shared" si="27"/>
        <v>921.51</v>
      </c>
      <c r="V70" s="269">
        <v>3</v>
      </c>
      <c r="W70" s="269">
        <f t="shared" si="20"/>
        <v>10.63</v>
      </c>
      <c r="X70" s="644">
        <f t="shared" si="18"/>
        <v>910.88</v>
      </c>
      <c r="Y70" s="644"/>
    </row>
    <row r="71" spans="1:25" s="310" customFormat="1" x14ac:dyDescent="0.2">
      <c r="A71" s="308"/>
      <c r="B71" s="309" t="s">
        <v>100</v>
      </c>
      <c r="C71" s="309" t="s">
        <v>101</v>
      </c>
      <c r="D71" s="310">
        <v>1102</v>
      </c>
      <c r="E71" s="638" t="s">
        <v>124</v>
      </c>
      <c r="F71" s="309" t="s">
        <v>102</v>
      </c>
      <c r="G71" s="312" t="s">
        <v>85</v>
      </c>
      <c r="H71" s="313"/>
      <c r="I71" s="313">
        <f t="shared" si="19"/>
        <v>1</v>
      </c>
      <c r="J71" s="314">
        <v>1</v>
      </c>
      <c r="K71" s="315">
        <v>1</v>
      </c>
      <c r="L71" s="315">
        <v>1</v>
      </c>
      <c r="M71" s="314">
        <v>260</v>
      </c>
      <c r="N71" s="314">
        <v>3</v>
      </c>
      <c r="O71" s="314">
        <v>3</v>
      </c>
      <c r="P71" s="316">
        <f t="shared" si="24"/>
        <v>257</v>
      </c>
      <c r="Q71" s="317">
        <v>1</v>
      </c>
      <c r="R71" s="318">
        <f t="shared" si="25"/>
        <v>0.98846000000000001</v>
      </c>
      <c r="S71" s="318">
        <f t="shared" si="22"/>
        <v>0.98846000000000001</v>
      </c>
      <c r="T71" s="319">
        <f t="shared" si="26"/>
        <v>921.51</v>
      </c>
      <c r="U71" s="319">
        <f t="shared" si="27"/>
        <v>921.51</v>
      </c>
      <c r="V71" s="319">
        <v>3</v>
      </c>
      <c r="W71" s="319">
        <f t="shared" si="20"/>
        <v>10.63</v>
      </c>
      <c r="X71" s="646">
        <f t="shared" si="18"/>
        <v>910.88</v>
      </c>
      <c r="Y71" s="646">
        <f>SUM(X70:X71)</f>
        <v>1821.76</v>
      </c>
    </row>
    <row r="72" spans="1:25" s="272" customFormat="1" x14ac:dyDescent="0.2">
      <c r="A72" s="276">
        <v>32</v>
      </c>
      <c r="B72" s="265" t="s">
        <v>109</v>
      </c>
      <c r="C72" s="265" t="s">
        <v>110</v>
      </c>
      <c r="D72" s="271">
        <v>1102</v>
      </c>
      <c r="E72" s="21" t="s">
        <v>124</v>
      </c>
      <c r="F72" s="265" t="s">
        <v>139</v>
      </c>
      <c r="G72" s="322" t="s">
        <v>47</v>
      </c>
      <c r="H72" s="282"/>
      <c r="I72" s="282">
        <f>VLOOKUP(G72,tabella3,2)</f>
        <v>0.86970000000000003</v>
      </c>
      <c r="J72" s="277">
        <v>1</v>
      </c>
      <c r="K72" s="306">
        <v>1</v>
      </c>
      <c r="L72" s="306">
        <v>1</v>
      </c>
      <c r="M72" s="277">
        <v>260</v>
      </c>
      <c r="N72" s="277">
        <v>2</v>
      </c>
      <c r="O72" s="277">
        <v>2</v>
      </c>
      <c r="P72" s="304">
        <f>IF(E72="GRUPPO",M72-O72,M72)</f>
        <v>258</v>
      </c>
      <c r="Q72" s="278">
        <v>1</v>
      </c>
      <c r="R72" s="307">
        <f>ROUND(IF(M72&lt;100,0,L72*I72*J72*P72/260*Q72),5)</f>
        <v>0.86301000000000005</v>
      </c>
      <c r="S72" s="307">
        <f>ROUND(IF(M72&lt;100,0,K72*I72*J72*P72/260*Q72),5)</f>
        <v>0.86301000000000005</v>
      </c>
      <c r="T72" s="269">
        <f t="shared" si="26"/>
        <v>804.55</v>
      </c>
      <c r="U72" s="269">
        <f t="shared" si="27"/>
        <v>804.55</v>
      </c>
      <c r="V72" s="269">
        <v>2</v>
      </c>
      <c r="W72" s="269">
        <f>ROUND(T72/M72*V72,2)</f>
        <v>6.19</v>
      </c>
      <c r="X72" s="644">
        <f>U72-W72</f>
        <v>798.3599999999999</v>
      </c>
      <c r="Y72" s="644"/>
    </row>
    <row r="73" spans="1:25" s="310" customFormat="1" x14ac:dyDescent="0.2">
      <c r="A73" s="308"/>
      <c r="B73" s="321" t="s">
        <v>109</v>
      </c>
      <c r="C73" s="321" t="s">
        <v>110</v>
      </c>
      <c r="D73" s="310">
        <v>1102</v>
      </c>
      <c r="E73" s="402" t="s">
        <v>124</v>
      </c>
      <c r="F73" s="321" t="s">
        <v>139</v>
      </c>
      <c r="G73" s="323" t="s">
        <v>47</v>
      </c>
      <c r="H73" s="313"/>
      <c r="I73" s="313">
        <f>VLOOKUP(G73,tabella3,2)</f>
        <v>0.86970000000000003</v>
      </c>
      <c r="J73" s="314">
        <v>1</v>
      </c>
      <c r="K73" s="315">
        <v>1</v>
      </c>
      <c r="L73" s="315">
        <v>1</v>
      </c>
      <c r="M73" s="314">
        <v>260</v>
      </c>
      <c r="N73" s="314">
        <v>2</v>
      </c>
      <c r="O73" s="314">
        <v>2</v>
      </c>
      <c r="P73" s="316">
        <f>IF(E73="GRUPPO",M73-O73,M73)</f>
        <v>258</v>
      </c>
      <c r="Q73" s="317">
        <v>1</v>
      </c>
      <c r="R73" s="318">
        <f>ROUND(IF(M73&lt;100,0,L73*I73*J73*P73/260*Q73),5)</f>
        <v>0.86301000000000005</v>
      </c>
      <c r="S73" s="318">
        <f>ROUND(IF(M73&lt;100,0,K73*I73*J73*P73/260*Q73),5)</f>
        <v>0.86301000000000005</v>
      </c>
      <c r="T73" s="319">
        <f t="shared" si="26"/>
        <v>804.55</v>
      </c>
      <c r="U73" s="319">
        <f t="shared" si="27"/>
        <v>804.55</v>
      </c>
      <c r="V73" s="319">
        <v>2</v>
      </c>
      <c r="W73" s="319">
        <f>ROUND(T73/M73*V73,2)</f>
        <v>6.19</v>
      </c>
      <c r="X73" s="646">
        <f>U73-W73</f>
        <v>798.3599999999999</v>
      </c>
      <c r="Y73" s="646">
        <f>SUM(X72:X73)</f>
        <v>1596.7199999999998</v>
      </c>
    </row>
    <row r="74" spans="1:25" s="272" customFormat="1" x14ac:dyDescent="0.2">
      <c r="A74" s="276">
        <v>33</v>
      </c>
      <c r="B74" s="265" t="s">
        <v>195</v>
      </c>
      <c r="C74" s="265" t="s">
        <v>196</v>
      </c>
      <c r="D74" s="271">
        <v>1101</v>
      </c>
      <c r="E74" s="21" t="s">
        <v>124</v>
      </c>
      <c r="F74" s="265" t="s">
        <v>222</v>
      </c>
      <c r="G74" s="301" t="s">
        <v>41</v>
      </c>
      <c r="H74" s="282"/>
      <c r="I74" s="282">
        <f t="shared" si="19"/>
        <v>0.749</v>
      </c>
      <c r="J74" s="277">
        <v>1</v>
      </c>
      <c r="K74" s="306">
        <v>1</v>
      </c>
      <c r="L74" s="306">
        <v>1</v>
      </c>
      <c r="M74" s="277">
        <v>260</v>
      </c>
      <c r="N74" s="277">
        <v>8</v>
      </c>
      <c r="O74" s="277">
        <v>8</v>
      </c>
      <c r="P74" s="304">
        <f t="shared" si="24"/>
        <v>252</v>
      </c>
      <c r="Q74" s="278">
        <v>1</v>
      </c>
      <c r="R74" s="307">
        <f t="shared" si="25"/>
        <v>0.72594999999999998</v>
      </c>
      <c r="S74" s="307">
        <f t="shared" si="22"/>
        <v>0.72594999999999998</v>
      </c>
      <c r="T74" s="269">
        <f t="shared" si="26"/>
        <v>676.78</v>
      </c>
      <c r="U74" s="269">
        <f t="shared" si="27"/>
        <v>676.78</v>
      </c>
      <c r="V74" s="269">
        <v>8</v>
      </c>
      <c r="W74" s="269">
        <f t="shared" si="20"/>
        <v>20.82</v>
      </c>
      <c r="X74" s="644">
        <f t="shared" si="18"/>
        <v>655.95999999999992</v>
      </c>
      <c r="Y74" s="644"/>
    </row>
    <row r="75" spans="1:25" s="310" customFormat="1" x14ac:dyDescent="0.2">
      <c r="A75" s="308"/>
      <c r="B75" s="309" t="s">
        <v>195</v>
      </c>
      <c r="C75" s="309" t="s">
        <v>196</v>
      </c>
      <c r="D75" s="310">
        <v>1101</v>
      </c>
      <c r="E75" s="402" t="s">
        <v>124</v>
      </c>
      <c r="F75" s="309" t="s">
        <v>222</v>
      </c>
      <c r="G75" s="312" t="s">
        <v>41</v>
      </c>
      <c r="H75" s="313"/>
      <c r="I75" s="313">
        <f t="shared" si="19"/>
        <v>0.749</v>
      </c>
      <c r="J75" s="314">
        <v>1</v>
      </c>
      <c r="K75" s="315">
        <v>1</v>
      </c>
      <c r="L75" s="315">
        <v>1</v>
      </c>
      <c r="M75" s="314">
        <v>260</v>
      </c>
      <c r="N75" s="314">
        <v>8</v>
      </c>
      <c r="O75" s="314">
        <v>8</v>
      </c>
      <c r="P75" s="316">
        <f t="shared" si="24"/>
        <v>252</v>
      </c>
      <c r="Q75" s="317">
        <v>1</v>
      </c>
      <c r="R75" s="318">
        <f t="shared" si="25"/>
        <v>0.72594999999999998</v>
      </c>
      <c r="S75" s="318">
        <f t="shared" si="22"/>
        <v>0.72594999999999998</v>
      </c>
      <c r="T75" s="319">
        <f t="shared" si="26"/>
        <v>676.78</v>
      </c>
      <c r="U75" s="319">
        <f t="shared" si="27"/>
        <v>676.78</v>
      </c>
      <c r="V75" s="319">
        <v>8</v>
      </c>
      <c r="W75" s="319">
        <f t="shared" si="20"/>
        <v>20.82</v>
      </c>
      <c r="X75" s="646">
        <f t="shared" si="18"/>
        <v>655.95999999999992</v>
      </c>
      <c r="Y75" s="646">
        <f>SUM(X74:X75)</f>
        <v>1311.9199999999998</v>
      </c>
    </row>
    <row r="76" spans="1:25" s="272" customFormat="1" ht="12.75" customHeight="1" x14ac:dyDescent="0.2">
      <c r="A76" s="276">
        <v>34</v>
      </c>
      <c r="B76" s="265" t="s">
        <v>162</v>
      </c>
      <c r="C76" s="265" t="s">
        <v>163</v>
      </c>
      <c r="D76" s="271">
        <v>1101</v>
      </c>
      <c r="E76" s="632" t="s">
        <v>124</v>
      </c>
      <c r="F76" s="275" t="s">
        <v>221</v>
      </c>
      <c r="G76" s="301" t="s">
        <v>44</v>
      </c>
      <c r="H76" s="282"/>
      <c r="I76" s="282">
        <f t="shared" ref="I76:I86" si="28">VLOOKUP(G76,tabella3,2)</f>
        <v>0.79930000000000001</v>
      </c>
      <c r="J76" s="277">
        <v>1</v>
      </c>
      <c r="K76" s="306">
        <v>1</v>
      </c>
      <c r="L76" s="306">
        <v>1</v>
      </c>
      <c r="M76" s="277">
        <v>260</v>
      </c>
      <c r="N76" s="277">
        <v>39</v>
      </c>
      <c r="O76" s="277">
        <v>39</v>
      </c>
      <c r="P76" s="304">
        <f t="shared" si="24"/>
        <v>221</v>
      </c>
      <c r="Q76" s="278">
        <v>1</v>
      </c>
      <c r="R76" s="307">
        <f t="shared" si="25"/>
        <v>0.67940999999999996</v>
      </c>
      <c r="S76" s="307">
        <f t="shared" si="22"/>
        <v>0.67940999999999996</v>
      </c>
      <c r="T76" s="269">
        <f t="shared" si="26"/>
        <v>633.39</v>
      </c>
      <c r="U76" s="269">
        <f t="shared" si="27"/>
        <v>633.39</v>
      </c>
      <c r="V76" s="269">
        <v>7</v>
      </c>
      <c r="W76" s="269">
        <f>ROUND(T76/M76*V76,2)</f>
        <v>17.05</v>
      </c>
      <c r="X76" s="644">
        <f>U76-W76-0.04</f>
        <v>616.30000000000007</v>
      </c>
      <c r="Y76" s="644"/>
    </row>
    <row r="77" spans="1:25" s="310" customFormat="1" x14ac:dyDescent="0.2">
      <c r="A77" s="308"/>
      <c r="B77" s="309" t="s">
        <v>162</v>
      </c>
      <c r="C77" s="309" t="s">
        <v>163</v>
      </c>
      <c r="D77" s="310">
        <v>1101</v>
      </c>
      <c r="E77" s="638" t="s">
        <v>124</v>
      </c>
      <c r="F77" s="309" t="s">
        <v>221</v>
      </c>
      <c r="G77" s="312" t="s">
        <v>44</v>
      </c>
      <c r="H77" s="313"/>
      <c r="I77" s="313">
        <f t="shared" si="28"/>
        <v>0.79930000000000001</v>
      </c>
      <c r="J77" s="314">
        <v>1</v>
      </c>
      <c r="K77" s="315">
        <v>1</v>
      </c>
      <c r="L77" s="315">
        <v>1</v>
      </c>
      <c r="M77" s="314">
        <v>260</v>
      </c>
      <c r="N77" s="314">
        <v>39</v>
      </c>
      <c r="O77" s="314">
        <v>39</v>
      </c>
      <c r="P77" s="316">
        <f t="shared" si="24"/>
        <v>221</v>
      </c>
      <c r="Q77" s="317">
        <v>1</v>
      </c>
      <c r="R77" s="318">
        <f t="shared" si="25"/>
        <v>0.67940999999999996</v>
      </c>
      <c r="S77" s="318">
        <f t="shared" si="22"/>
        <v>0.67940999999999996</v>
      </c>
      <c r="T77" s="319">
        <f t="shared" si="26"/>
        <v>633.39</v>
      </c>
      <c r="U77" s="319">
        <f t="shared" si="27"/>
        <v>633.39</v>
      </c>
      <c r="V77" s="319">
        <v>7</v>
      </c>
      <c r="W77" s="319">
        <f>ROUND(T77/M77*V77,2)</f>
        <v>17.05</v>
      </c>
      <c r="X77" s="646">
        <f t="shared" si="18"/>
        <v>616.34</v>
      </c>
      <c r="Y77" s="646">
        <f>SUM(X76:X77)</f>
        <v>1232.6400000000001</v>
      </c>
    </row>
    <row r="78" spans="1:25" customFormat="1" x14ac:dyDescent="0.2">
      <c r="A78" s="31">
        <v>35</v>
      </c>
      <c r="B78" s="146" t="s">
        <v>217</v>
      </c>
      <c r="C78" s="146" t="s">
        <v>218</v>
      </c>
      <c r="D78">
        <v>1101</v>
      </c>
      <c r="E78" s="21" t="s">
        <v>124</v>
      </c>
      <c r="F78" s="146" t="s">
        <v>309</v>
      </c>
      <c r="G78" s="389" t="s">
        <v>44</v>
      </c>
      <c r="H78" s="107" t="s">
        <v>297</v>
      </c>
      <c r="I78" s="144">
        <f t="shared" si="28"/>
        <v>0.79930000000000001</v>
      </c>
      <c r="J78" s="39">
        <v>1</v>
      </c>
      <c r="K78" s="390">
        <v>1</v>
      </c>
      <c r="L78" s="390">
        <v>1</v>
      </c>
      <c r="M78" s="39">
        <v>260</v>
      </c>
      <c r="N78" s="39"/>
      <c r="O78" s="39"/>
      <c r="P78" s="391">
        <f t="shared" ref="P78:P92" si="29">IF(E78="GRUPPO",M78-O78,M78)</f>
        <v>260</v>
      </c>
      <c r="Q78" s="83">
        <v>0.5</v>
      </c>
      <c r="R78" s="392">
        <f>ROUND(IF(M78&lt;80,0,L78*I78*J78*P78/260*Q78),5)</f>
        <v>0.39965000000000001</v>
      </c>
      <c r="S78" s="392">
        <f>ROUND(IF(M78&lt;80,0,K78*I78*J78*P78/260*Q78),5)</f>
        <v>0.39965000000000001</v>
      </c>
      <c r="T78" s="40">
        <f t="shared" si="26"/>
        <v>372.58</v>
      </c>
      <c r="U78" s="40">
        <f t="shared" si="27"/>
        <v>372.58</v>
      </c>
      <c r="V78" s="40"/>
      <c r="W78" s="40">
        <f t="shared" ref="W78:W92" si="30">ROUND(T78/M78*V78,2)</f>
        <v>0</v>
      </c>
      <c r="X78" s="636">
        <f t="shared" si="18"/>
        <v>372.58</v>
      </c>
      <c r="Y78" s="636"/>
    </row>
    <row r="79" spans="1:25" s="118" customFormat="1" x14ac:dyDescent="0.2">
      <c r="A79" s="149"/>
      <c r="B79" s="150" t="s">
        <v>217</v>
      </c>
      <c r="C79" s="150" t="s">
        <v>218</v>
      </c>
      <c r="D79" s="118">
        <v>1101</v>
      </c>
      <c r="E79" s="402" t="s">
        <v>124</v>
      </c>
      <c r="F79" s="393" t="s">
        <v>309</v>
      </c>
      <c r="G79" s="403" t="s">
        <v>44</v>
      </c>
      <c r="H79" s="404" t="s">
        <v>297</v>
      </c>
      <c r="I79" s="395">
        <f t="shared" si="28"/>
        <v>0.79930000000000001</v>
      </c>
      <c r="J79" s="396">
        <v>1</v>
      </c>
      <c r="K79" s="397">
        <v>1</v>
      </c>
      <c r="L79" s="397">
        <v>1</v>
      </c>
      <c r="M79" s="396">
        <v>260</v>
      </c>
      <c r="N79" s="396"/>
      <c r="O79" s="396"/>
      <c r="P79" s="398">
        <f t="shared" si="29"/>
        <v>260</v>
      </c>
      <c r="Q79" s="399">
        <v>0.5</v>
      </c>
      <c r="R79" s="400">
        <f>ROUND(IF(M79&lt;80,0,L79*I79*J79*P79/260*Q79),5)</f>
        <v>0.39965000000000001</v>
      </c>
      <c r="S79" s="400">
        <f>ROUND(IF(M79&lt;80,0,K79*I79*J79*P79/260*Q79),5)</f>
        <v>0.39965000000000001</v>
      </c>
      <c r="T79" s="153">
        <f t="shared" si="26"/>
        <v>372.58</v>
      </c>
      <c r="U79" s="153">
        <f t="shared" si="27"/>
        <v>372.58</v>
      </c>
      <c r="V79" s="153"/>
      <c r="W79" s="153">
        <f t="shared" si="30"/>
        <v>0</v>
      </c>
      <c r="X79" s="642">
        <f t="shared" si="18"/>
        <v>372.58</v>
      </c>
      <c r="Y79" s="642">
        <f>SUM(X78:X79)</f>
        <v>745.16</v>
      </c>
    </row>
    <row r="80" spans="1:25" customFormat="1" x14ac:dyDescent="0.2">
      <c r="A80" s="31">
        <v>36</v>
      </c>
      <c r="B80" s="146" t="s">
        <v>247</v>
      </c>
      <c r="C80" s="146" t="s">
        <v>218</v>
      </c>
      <c r="D80">
        <v>1101</v>
      </c>
      <c r="E80" s="21" t="s">
        <v>124</v>
      </c>
      <c r="F80" s="146" t="s">
        <v>255</v>
      </c>
      <c r="G80" s="389" t="s">
        <v>44</v>
      </c>
      <c r="H80" s="144"/>
      <c r="I80" s="144">
        <f>VLOOKUP(G80,tabella3,2)</f>
        <v>0.79930000000000001</v>
      </c>
      <c r="J80" s="39">
        <v>1</v>
      </c>
      <c r="K80" s="390">
        <v>1</v>
      </c>
      <c r="L80" s="390">
        <v>1</v>
      </c>
      <c r="M80" s="39">
        <v>260</v>
      </c>
      <c r="N80" s="39">
        <v>19</v>
      </c>
      <c r="O80" s="39">
        <v>19</v>
      </c>
      <c r="P80" s="391">
        <f t="shared" si="29"/>
        <v>241</v>
      </c>
      <c r="Q80" s="83">
        <v>1</v>
      </c>
      <c r="R80" s="392">
        <f t="shared" ref="R80:R92" si="31">ROUND(IF(M80&lt;100,0,L80*I80*J80*P80/260*Q80),5)</f>
        <v>0.74089000000000005</v>
      </c>
      <c r="S80" s="392">
        <f>ROUND(IF(M80&lt;100,0,K80*I80*J80*P80/260*Q80),5)</f>
        <v>0.74089000000000005</v>
      </c>
      <c r="T80" s="40">
        <f t="shared" si="26"/>
        <v>690.7</v>
      </c>
      <c r="U80" s="40">
        <f t="shared" si="27"/>
        <v>690.7</v>
      </c>
      <c r="V80" s="40">
        <v>12</v>
      </c>
      <c r="W80" s="40">
        <f t="shared" si="30"/>
        <v>31.88</v>
      </c>
      <c r="X80" s="636">
        <f>U80-W80</f>
        <v>658.82</v>
      </c>
      <c r="Y80" s="636"/>
    </row>
    <row r="81" spans="1:25" s="118" customFormat="1" x14ac:dyDescent="0.2">
      <c r="A81" s="149"/>
      <c r="B81" s="150" t="s">
        <v>247</v>
      </c>
      <c r="C81" s="150" t="s">
        <v>218</v>
      </c>
      <c r="D81" s="118">
        <v>1101</v>
      </c>
      <c r="E81" s="402" t="s">
        <v>124</v>
      </c>
      <c r="F81" s="150" t="s">
        <v>255</v>
      </c>
      <c r="G81" s="394" t="s">
        <v>44</v>
      </c>
      <c r="H81" s="395"/>
      <c r="I81" s="395">
        <f>VLOOKUP(G81,tabella3,2)</f>
        <v>0.79930000000000001</v>
      </c>
      <c r="J81" s="396">
        <v>1</v>
      </c>
      <c r="K81" s="397">
        <v>1</v>
      </c>
      <c r="L81" s="397">
        <v>1</v>
      </c>
      <c r="M81" s="396">
        <v>260</v>
      </c>
      <c r="N81" s="396">
        <v>19</v>
      </c>
      <c r="O81" s="396">
        <v>19</v>
      </c>
      <c r="P81" s="398">
        <f t="shared" si="29"/>
        <v>241</v>
      </c>
      <c r="Q81" s="399">
        <v>1</v>
      </c>
      <c r="R81" s="400">
        <f t="shared" si="31"/>
        <v>0.74089000000000005</v>
      </c>
      <c r="S81" s="400">
        <f>ROUND(IF(M81&lt;100,0,K81*I81*J81*P81/260*Q81),5)</f>
        <v>0.74089000000000005</v>
      </c>
      <c r="T81" s="153">
        <f t="shared" si="26"/>
        <v>690.7</v>
      </c>
      <c r="U81" s="153">
        <f t="shared" si="27"/>
        <v>690.7</v>
      </c>
      <c r="V81" s="153">
        <v>12</v>
      </c>
      <c r="W81" s="153">
        <f t="shared" si="30"/>
        <v>31.88</v>
      </c>
      <c r="X81" s="642">
        <f>U81-W81</f>
        <v>658.82</v>
      </c>
      <c r="Y81" s="642">
        <f>SUM(X80:X81)</f>
        <v>1317.64</v>
      </c>
    </row>
    <row r="82" spans="1:25" customFormat="1" hidden="1" x14ac:dyDescent="0.2">
      <c r="A82" s="31">
        <v>43</v>
      </c>
      <c r="B82" s="146" t="s">
        <v>247</v>
      </c>
      <c r="C82" s="146" t="s">
        <v>218</v>
      </c>
      <c r="D82">
        <v>1101</v>
      </c>
      <c r="E82" s="21"/>
      <c r="F82" s="146" t="s">
        <v>255</v>
      </c>
      <c r="G82" s="389" t="s">
        <v>44</v>
      </c>
      <c r="H82" s="144"/>
      <c r="I82" s="144">
        <f>VLOOKUP(G82,tabella3,2)</f>
        <v>0.79930000000000001</v>
      </c>
      <c r="J82" s="39">
        <v>1</v>
      </c>
      <c r="K82" s="390">
        <v>1</v>
      </c>
      <c r="L82" s="390">
        <v>1</v>
      </c>
      <c r="M82" s="39">
        <v>79</v>
      </c>
      <c r="N82" s="39"/>
      <c r="O82" s="39"/>
      <c r="P82" s="391">
        <f t="shared" si="29"/>
        <v>79</v>
      </c>
      <c r="Q82" s="83">
        <v>1</v>
      </c>
      <c r="R82" s="392">
        <f t="shared" si="31"/>
        <v>0</v>
      </c>
      <c r="S82" s="392">
        <f>ROUND(IF(M82&lt;100,0,K82*I82*J82*P82/260*Q82),5)</f>
        <v>0</v>
      </c>
      <c r="T82" s="40">
        <f t="shared" si="26"/>
        <v>0</v>
      </c>
      <c r="U82" s="40">
        <f t="shared" si="27"/>
        <v>0</v>
      </c>
      <c r="V82" s="40"/>
      <c r="W82" s="40">
        <f t="shared" si="30"/>
        <v>0</v>
      </c>
      <c r="X82" s="636">
        <f>U82-W82</f>
        <v>0</v>
      </c>
      <c r="Y82" s="636"/>
    </row>
    <row r="83" spans="1:25" customFormat="1" x14ac:dyDescent="0.2">
      <c r="A83" s="31">
        <v>37</v>
      </c>
      <c r="B83" s="146" t="s">
        <v>335</v>
      </c>
      <c r="C83" s="146" t="s">
        <v>338</v>
      </c>
      <c r="D83">
        <v>1101</v>
      </c>
      <c r="E83" s="21" t="s">
        <v>124</v>
      </c>
      <c r="F83" s="146" t="s">
        <v>62</v>
      </c>
      <c r="G83" s="401" t="s">
        <v>44</v>
      </c>
      <c r="H83" s="144"/>
      <c r="I83" s="144">
        <f>VLOOKUP(G83,tabella3,2)</f>
        <v>0.79930000000000001</v>
      </c>
      <c r="J83" s="39">
        <v>1</v>
      </c>
      <c r="K83" s="390">
        <v>1</v>
      </c>
      <c r="L83" s="390">
        <v>1</v>
      </c>
      <c r="M83" s="39">
        <v>260</v>
      </c>
      <c r="N83" s="39"/>
      <c r="O83" s="39"/>
      <c r="P83" s="391">
        <f t="shared" si="29"/>
        <v>260</v>
      </c>
      <c r="Q83" s="83">
        <v>1</v>
      </c>
      <c r="R83" s="392">
        <f t="shared" si="31"/>
        <v>0.79930000000000001</v>
      </c>
      <c r="S83" s="392">
        <f>ROUND(IF(M83&lt;100,0,K83*I83*J83*P83/260*Q83),5)</f>
        <v>0.79930000000000001</v>
      </c>
      <c r="T83" s="40">
        <f t="shared" si="26"/>
        <v>745.16</v>
      </c>
      <c r="U83" s="40">
        <f t="shared" si="27"/>
        <v>745.16</v>
      </c>
      <c r="V83" s="40"/>
      <c r="W83" s="40">
        <f t="shared" si="30"/>
        <v>0</v>
      </c>
      <c r="X83" s="636">
        <f>U83-W83</f>
        <v>745.16</v>
      </c>
      <c r="Y83" s="636"/>
    </row>
    <row r="84" spans="1:25" s="118" customFormat="1" x14ac:dyDescent="0.2">
      <c r="A84" s="149"/>
      <c r="B84" s="393" t="s">
        <v>335</v>
      </c>
      <c r="C84" s="393" t="s">
        <v>338</v>
      </c>
      <c r="D84" s="118">
        <v>1101</v>
      </c>
      <c r="E84" s="638" t="s">
        <v>152</v>
      </c>
      <c r="F84" s="393" t="s">
        <v>62</v>
      </c>
      <c r="G84" s="394" t="s">
        <v>44</v>
      </c>
      <c r="H84" s="395"/>
      <c r="I84" s="395">
        <f>VLOOKUP(G84,tabella3,2)</f>
        <v>0.79930000000000001</v>
      </c>
      <c r="J84" s="396">
        <v>1</v>
      </c>
      <c r="K84" s="397">
        <v>1</v>
      </c>
      <c r="L84" s="397">
        <v>1</v>
      </c>
      <c r="M84" s="396">
        <v>260</v>
      </c>
      <c r="N84" s="396"/>
      <c r="O84" s="396"/>
      <c r="P84" s="398">
        <f t="shared" si="29"/>
        <v>260</v>
      </c>
      <c r="Q84" s="399">
        <v>1</v>
      </c>
      <c r="R84" s="400">
        <f t="shared" si="31"/>
        <v>0.79930000000000001</v>
      </c>
      <c r="S84" s="400">
        <f>ROUND(IF(M84&lt;100,0,K84*I84*J84*P84/260*Q84),5)</f>
        <v>0.79930000000000001</v>
      </c>
      <c r="T84" s="153">
        <f t="shared" si="26"/>
        <v>745.16</v>
      </c>
      <c r="U84" s="153">
        <f t="shared" si="27"/>
        <v>745.16</v>
      </c>
      <c r="V84" s="153"/>
      <c r="W84" s="153">
        <f t="shared" si="30"/>
        <v>0</v>
      </c>
      <c r="X84" s="642">
        <f>U84-W84</f>
        <v>745.16</v>
      </c>
      <c r="Y84" s="642">
        <f>+X84+X83</f>
        <v>1490.32</v>
      </c>
    </row>
    <row r="85" spans="1:25" s="632" customFormat="1" x14ac:dyDescent="0.2">
      <c r="A85" s="145">
        <v>38</v>
      </c>
      <c r="B85" s="146" t="s">
        <v>336</v>
      </c>
      <c r="C85" s="146" t="s">
        <v>339</v>
      </c>
      <c r="D85" s="632">
        <v>1101</v>
      </c>
      <c r="E85" s="632" t="s">
        <v>124</v>
      </c>
      <c r="F85" s="146" t="s">
        <v>62</v>
      </c>
      <c r="G85" s="389" t="s">
        <v>44</v>
      </c>
      <c r="H85" s="144" t="s">
        <v>384</v>
      </c>
      <c r="I85" s="144">
        <f t="shared" si="28"/>
        <v>0.79930000000000001</v>
      </c>
      <c r="J85" s="457">
        <v>1</v>
      </c>
      <c r="K85" s="633">
        <v>1</v>
      </c>
      <c r="L85" s="633">
        <v>1</v>
      </c>
      <c r="M85" s="457">
        <f>ROUND((31+28+31+30+31+30+31+31+30+15)/365*260,0)</f>
        <v>205</v>
      </c>
      <c r="N85" s="457"/>
      <c r="O85" s="457"/>
      <c r="P85" s="634">
        <f t="shared" si="29"/>
        <v>205</v>
      </c>
      <c r="Q85" s="143">
        <v>1</v>
      </c>
      <c r="R85" s="635">
        <f t="shared" si="31"/>
        <v>0.63022</v>
      </c>
      <c r="S85" s="635">
        <f t="shared" si="22"/>
        <v>0.63022</v>
      </c>
      <c r="T85" s="636">
        <f t="shared" si="26"/>
        <v>587.53</v>
      </c>
      <c r="U85" s="636">
        <f t="shared" si="27"/>
        <v>587.53</v>
      </c>
      <c r="V85" s="636"/>
      <c r="W85" s="636">
        <f t="shared" si="30"/>
        <v>0</v>
      </c>
      <c r="X85" s="636">
        <f t="shared" si="18"/>
        <v>587.53</v>
      </c>
      <c r="Y85" s="636"/>
    </row>
    <row r="86" spans="1:25" s="638" customFormat="1" x14ac:dyDescent="0.2">
      <c r="A86" s="637"/>
      <c r="B86" s="393" t="s">
        <v>336</v>
      </c>
      <c r="C86" s="393" t="s">
        <v>339</v>
      </c>
      <c r="D86" s="638">
        <v>1101</v>
      </c>
      <c r="E86" s="638" t="s">
        <v>124</v>
      </c>
      <c r="F86" s="393" t="s">
        <v>62</v>
      </c>
      <c r="G86" s="403" t="s">
        <v>44</v>
      </c>
      <c r="H86" s="395" t="s">
        <v>384</v>
      </c>
      <c r="I86" s="395">
        <f t="shared" si="28"/>
        <v>0.79930000000000001</v>
      </c>
      <c r="J86" s="458">
        <v>1</v>
      </c>
      <c r="K86" s="639">
        <v>1</v>
      </c>
      <c r="L86" s="639">
        <v>1</v>
      </c>
      <c r="M86" s="458">
        <v>205</v>
      </c>
      <c r="N86" s="458"/>
      <c r="O86" s="458"/>
      <c r="P86" s="640">
        <f t="shared" si="29"/>
        <v>205</v>
      </c>
      <c r="Q86" s="152">
        <v>1</v>
      </c>
      <c r="R86" s="641">
        <f t="shared" si="31"/>
        <v>0.63022</v>
      </c>
      <c r="S86" s="641">
        <f t="shared" si="22"/>
        <v>0.63022</v>
      </c>
      <c r="T86" s="642">
        <f t="shared" si="26"/>
        <v>587.53</v>
      </c>
      <c r="U86" s="642">
        <f t="shared" si="27"/>
        <v>587.53</v>
      </c>
      <c r="V86" s="642"/>
      <c r="W86" s="642">
        <f t="shared" si="30"/>
        <v>0</v>
      </c>
      <c r="X86" s="642">
        <f t="shared" si="18"/>
        <v>587.53</v>
      </c>
      <c r="Y86" s="642">
        <f>SUM(X85:X86)</f>
        <v>1175.06</v>
      </c>
    </row>
    <row r="87" spans="1:25" customFormat="1" x14ac:dyDescent="0.2">
      <c r="A87" s="31">
        <v>39</v>
      </c>
      <c r="B87" s="146" t="s">
        <v>340</v>
      </c>
      <c r="C87" s="146" t="s">
        <v>341</v>
      </c>
      <c r="D87">
        <v>1101</v>
      </c>
      <c r="E87" s="21" t="s">
        <v>124</v>
      </c>
      <c r="F87" s="30" t="s">
        <v>255</v>
      </c>
      <c r="G87" s="401" t="s">
        <v>44</v>
      </c>
      <c r="H87" s="144"/>
      <c r="I87" s="144">
        <f t="shared" ref="I87:I92" si="32">VLOOKUP(G87,tabella3,2)</f>
        <v>0.79930000000000001</v>
      </c>
      <c r="J87" s="39">
        <v>1</v>
      </c>
      <c r="K87" s="390">
        <v>1</v>
      </c>
      <c r="L87" s="390">
        <v>1</v>
      </c>
      <c r="M87" s="39">
        <v>260</v>
      </c>
      <c r="N87" s="39">
        <v>5</v>
      </c>
      <c r="O87" s="39">
        <v>5</v>
      </c>
      <c r="P87" s="391">
        <f t="shared" si="29"/>
        <v>255</v>
      </c>
      <c r="Q87" s="83">
        <v>1</v>
      </c>
      <c r="R87" s="392">
        <f t="shared" si="31"/>
        <v>0.78393000000000002</v>
      </c>
      <c r="S87" s="392">
        <f t="shared" ref="S87:S92" si="33">ROUND(IF(M87&lt;100,0,K87*I87*J87*P87/260*Q87),5)</f>
        <v>0.78393000000000002</v>
      </c>
      <c r="T87" s="40">
        <f t="shared" si="26"/>
        <v>730.83</v>
      </c>
      <c r="U87" s="40">
        <f t="shared" si="27"/>
        <v>730.83</v>
      </c>
      <c r="V87" s="40">
        <v>5</v>
      </c>
      <c r="W87" s="40">
        <f t="shared" si="30"/>
        <v>14.05</v>
      </c>
      <c r="X87" s="636">
        <f t="shared" ref="X87:X92" si="34">U87-W87</f>
        <v>716.78000000000009</v>
      </c>
      <c r="Y87" s="636"/>
    </row>
    <row r="88" spans="1:25" s="118" customFormat="1" x14ac:dyDescent="0.2">
      <c r="A88" s="149"/>
      <c r="B88" s="393" t="s">
        <v>340</v>
      </c>
      <c r="C88" s="393" t="s">
        <v>341</v>
      </c>
      <c r="D88" s="118">
        <v>1101</v>
      </c>
      <c r="E88" s="402" t="s">
        <v>124</v>
      </c>
      <c r="F88" s="150" t="s">
        <v>255</v>
      </c>
      <c r="G88" s="394" t="s">
        <v>44</v>
      </c>
      <c r="H88" s="395"/>
      <c r="I88" s="395">
        <f t="shared" si="32"/>
        <v>0.79930000000000001</v>
      </c>
      <c r="J88" s="396">
        <v>1</v>
      </c>
      <c r="K88" s="397">
        <v>1</v>
      </c>
      <c r="L88" s="397">
        <v>1</v>
      </c>
      <c r="M88" s="396">
        <v>260</v>
      </c>
      <c r="N88" s="396">
        <v>5</v>
      </c>
      <c r="O88" s="396">
        <v>5</v>
      </c>
      <c r="P88" s="398">
        <f t="shared" si="29"/>
        <v>255</v>
      </c>
      <c r="Q88" s="399">
        <v>1</v>
      </c>
      <c r="R88" s="400">
        <f t="shared" si="31"/>
        <v>0.78393000000000002</v>
      </c>
      <c r="S88" s="400">
        <f t="shared" si="33"/>
        <v>0.78393000000000002</v>
      </c>
      <c r="T88" s="153">
        <f t="shared" si="26"/>
        <v>730.83</v>
      </c>
      <c r="U88" s="153">
        <f t="shared" si="27"/>
        <v>730.83</v>
      </c>
      <c r="V88" s="153">
        <v>5</v>
      </c>
      <c r="W88" s="153">
        <f t="shared" si="30"/>
        <v>14.05</v>
      </c>
      <c r="X88" s="642">
        <f t="shared" si="34"/>
        <v>716.78000000000009</v>
      </c>
      <c r="Y88" s="642">
        <f t="shared" ref="Y88:Y92" si="35">SUM(X87:X88)</f>
        <v>1433.5600000000002</v>
      </c>
    </row>
    <row r="89" spans="1:25" customFormat="1" x14ac:dyDescent="0.2">
      <c r="A89" s="31">
        <v>40</v>
      </c>
      <c r="B89" s="146" t="s">
        <v>77</v>
      </c>
      <c r="C89" s="146" t="s">
        <v>78</v>
      </c>
      <c r="D89">
        <v>1101</v>
      </c>
      <c r="E89" s="21" t="s">
        <v>124</v>
      </c>
      <c r="F89" s="30" t="s">
        <v>255</v>
      </c>
      <c r="G89" s="401" t="s">
        <v>44</v>
      </c>
      <c r="H89" s="144"/>
      <c r="I89" s="144">
        <f t="shared" si="32"/>
        <v>0.79930000000000001</v>
      </c>
      <c r="J89" s="39">
        <v>1</v>
      </c>
      <c r="K89" s="390">
        <v>1</v>
      </c>
      <c r="L89" s="390">
        <v>1</v>
      </c>
      <c r="M89" s="39">
        <v>260</v>
      </c>
      <c r="N89" s="39"/>
      <c r="O89" s="39"/>
      <c r="P89" s="391">
        <f t="shared" si="29"/>
        <v>260</v>
      </c>
      <c r="Q89" s="83">
        <v>1</v>
      </c>
      <c r="R89" s="392">
        <f t="shared" si="31"/>
        <v>0.79930000000000001</v>
      </c>
      <c r="S89" s="392">
        <f t="shared" si="33"/>
        <v>0.79930000000000001</v>
      </c>
      <c r="T89" s="40">
        <f t="shared" si="26"/>
        <v>745.16</v>
      </c>
      <c r="U89" s="40">
        <f t="shared" si="27"/>
        <v>745.16</v>
      </c>
      <c r="V89" s="40"/>
      <c r="W89" s="40">
        <f t="shared" si="30"/>
        <v>0</v>
      </c>
      <c r="X89" s="636">
        <f t="shared" si="34"/>
        <v>745.16</v>
      </c>
      <c r="Y89" s="636"/>
    </row>
    <row r="90" spans="1:25" s="118" customFormat="1" x14ac:dyDescent="0.2">
      <c r="A90" s="149"/>
      <c r="B90" s="393" t="s">
        <v>77</v>
      </c>
      <c r="C90" s="393" t="s">
        <v>78</v>
      </c>
      <c r="D90" s="118">
        <v>1101</v>
      </c>
      <c r="E90" s="402" t="s">
        <v>124</v>
      </c>
      <c r="F90" s="150" t="s">
        <v>255</v>
      </c>
      <c r="G90" s="394" t="s">
        <v>44</v>
      </c>
      <c r="H90" s="395"/>
      <c r="I90" s="395">
        <f t="shared" si="32"/>
        <v>0.79930000000000001</v>
      </c>
      <c r="J90" s="396">
        <v>1</v>
      </c>
      <c r="K90" s="397">
        <v>1</v>
      </c>
      <c r="L90" s="397">
        <v>1</v>
      </c>
      <c r="M90" s="396">
        <v>260</v>
      </c>
      <c r="N90" s="396"/>
      <c r="O90" s="396"/>
      <c r="P90" s="398">
        <f t="shared" si="29"/>
        <v>260</v>
      </c>
      <c r="Q90" s="399">
        <v>1</v>
      </c>
      <c r="R90" s="400">
        <f t="shared" si="31"/>
        <v>0.79930000000000001</v>
      </c>
      <c r="S90" s="400">
        <f t="shared" si="33"/>
        <v>0.79930000000000001</v>
      </c>
      <c r="T90" s="153">
        <f t="shared" si="26"/>
        <v>745.16</v>
      </c>
      <c r="U90" s="153">
        <f t="shared" si="27"/>
        <v>745.16</v>
      </c>
      <c r="V90" s="153"/>
      <c r="W90" s="153">
        <f t="shared" si="30"/>
        <v>0</v>
      </c>
      <c r="X90" s="642">
        <f t="shared" si="34"/>
        <v>745.16</v>
      </c>
      <c r="Y90" s="642">
        <f t="shared" si="35"/>
        <v>1490.32</v>
      </c>
    </row>
    <row r="91" spans="1:25" customFormat="1" x14ac:dyDescent="0.2">
      <c r="A91" s="31">
        <v>41</v>
      </c>
      <c r="B91" s="146" t="s">
        <v>337</v>
      </c>
      <c r="C91" s="146" t="s">
        <v>304</v>
      </c>
      <c r="D91">
        <v>1101</v>
      </c>
      <c r="E91" s="21" t="s">
        <v>124</v>
      </c>
      <c r="F91" s="146" t="s">
        <v>62</v>
      </c>
      <c r="G91" s="401" t="s">
        <v>44</v>
      </c>
      <c r="H91" s="144"/>
      <c r="I91" s="144">
        <f t="shared" si="32"/>
        <v>0.79930000000000001</v>
      </c>
      <c r="J91" s="39">
        <v>1</v>
      </c>
      <c r="K91" s="390">
        <v>1</v>
      </c>
      <c r="L91" s="390">
        <v>1</v>
      </c>
      <c r="M91" s="457">
        <v>260</v>
      </c>
      <c r="N91" s="39">
        <v>1</v>
      </c>
      <c r="O91" s="39">
        <v>1</v>
      </c>
      <c r="P91" s="391">
        <f t="shared" si="29"/>
        <v>259</v>
      </c>
      <c r="Q91" s="83">
        <v>1</v>
      </c>
      <c r="R91" s="392">
        <f t="shared" si="31"/>
        <v>0.79622999999999999</v>
      </c>
      <c r="S91" s="392">
        <f t="shared" si="33"/>
        <v>0.79622999999999999</v>
      </c>
      <c r="T91" s="40">
        <f t="shared" si="26"/>
        <v>742.3</v>
      </c>
      <c r="U91" s="40">
        <f t="shared" si="27"/>
        <v>742.3</v>
      </c>
      <c r="V91" s="40">
        <v>1</v>
      </c>
      <c r="W91" s="40">
        <f t="shared" si="30"/>
        <v>2.86</v>
      </c>
      <c r="X91" s="636">
        <f t="shared" si="34"/>
        <v>739.43999999999994</v>
      </c>
      <c r="Y91" s="636"/>
    </row>
    <row r="92" spans="1:25" s="118" customFormat="1" x14ac:dyDescent="0.2">
      <c r="A92" s="149"/>
      <c r="B92" s="393" t="s">
        <v>337</v>
      </c>
      <c r="C92" s="393" t="s">
        <v>304</v>
      </c>
      <c r="D92" s="118">
        <v>1101</v>
      </c>
      <c r="E92" s="402" t="s">
        <v>124</v>
      </c>
      <c r="F92" s="393" t="s">
        <v>62</v>
      </c>
      <c r="G92" s="394" t="s">
        <v>44</v>
      </c>
      <c r="H92" s="395"/>
      <c r="I92" s="395">
        <f t="shared" si="32"/>
        <v>0.79930000000000001</v>
      </c>
      <c r="J92" s="396">
        <v>1</v>
      </c>
      <c r="K92" s="397">
        <v>1</v>
      </c>
      <c r="L92" s="397">
        <v>1</v>
      </c>
      <c r="M92" s="458">
        <v>260</v>
      </c>
      <c r="N92" s="396">
        <v>1</v>
      </c>
      <c r="O92" s="396">
        <v>1</v>
      </c>
      <c r="P92" s="398">
        <f t="shared" si="29"/>
        <v>259</v>
      </c>
      <c r="Q92" s="399">
        <v>1</v>
      </c>
      <c r="R92" s="400">
        <f t="shared" si="31"/>
        <v>0.79622999999999999</v>
      </c>
      <c r="S92" s="400">
        <f t="shared" si="33"/>
        <v>0.79622999999999999</v>
      </c>
      <c r="T92" s="153">
        <f t="shared" si="26"/>
        <v>742.3</v>
      </c>
      <c r="U92" s="153">
        <f t="shared" si="27"/>
        <v>742.3</v>
      </c>
      <c r="V92" s="153">
        <v>1</v>
      </c>
      <c r="W92" s="153">
        <f t="shared" si="30"/>
        <v>2.86</v>
      </c>
      <c r="X92" s="642">
        <f t="shared" si="34"/>
        <v>739.43999999999994</v>
      </c>
      <c r="Y92" s="642">
        <f t="shared" si="35"/>
        <v>1478.8799999999999</v>
      </c>
    </row>
    <row r="93" spans="1:25" customFormat="1" x14ac:dyDescent="0.2">
      <c r="A93" s="31">
        <v>42</v>
      </c>
      <c r="B93" s="146" t="s">
        <v>365</v>
      </c>
      <c r="C93" s="146" t="s">
        <v>366</v>
      </c>
      <c r="D93">
        <v>1102</v>
      </c>
      <c r="E93" s="632" t="s">
        <v>152</v>
      </c>
      <c r="F93" s="146" t="s">
        <v>385</v>
      </c>
      <c r="G93" s="401" t="s">
        <v>44</v>
      </c>
      <c r="H93" s="144" t="s">
        <v>386</v>
      </c>
      <c r="I93" s="144">
        <f t="shared" ref="I93:I94" si="36">VLOOKUP(G93,tabella3,2)</f>
        <v>0.79930000000000001</v>
      </c>
      <c r="J93" s="39">
        <v>1</v>
      </c>
      <c r="K93" s="390">
        <v>1</v>
      </c>
      <c r="L93" s="390">
        <v>1</v>
      </c>
      <c r="M93" s="457">
        <f>ROUND((28+31+31+30+31+30+31)/365*260,0)</f>
        <v>151</v>
      </c>
      <c r="N93" s="39"/>
      <c r="O93" s="39"/>
      <c r="P93" s="391">
        <f t="shared" ref="P93:P94" si="37">IF(E93="GRUPPO",M93-O93,M93)</f>
        <v>151</v>
      </c>
      <c r="Q93" s="83">
        <v>1</v>
      </c>
      <c r="R93" s="392">
        <f t="shared" ref="R93:R94" si="38">ROUND(IF(M93&lt;100,0,L93*I93*J93*P93/260*Q93),5)</f>
        <v>0.46421000000000001</v>
      </c>
      <c r="S93" s="392">
        <f t="shared" ref="S93:S94" si="39">ROUND(IF(M93&lt;100,0,K93*I93*J93*P93/260*Q93),5)</f>
        <v>0.46421000000000001</v>
      </c>
      <c r="T93" s="40">
        <f t="shared" si="26"/>
        <v>432.77</v>
      </c>
      <c r="U93" s="40">
        <f t="shared" si="27"/>
        <v>432.77</v>
      </c>
      <c r="V93" s="40"/>
      <c r="W93" s="40">
        <f t="shared" ref="W93:W94" si="40">ROUND(T93/M93*V93,2)</f>
        <v>0</v>
      </c>
      <c r="X93" s="636">
        <f t="shared" ref="X93:X94" si="41">U93-W93</f>
        <v>432.77</v>
      </c>
      <c r="Y93" s="636"/>
    </row>
    <row r="94" spans="1:25" s="118" customFormat="1" x14ac:dyDescent="0.2">
      <c r="A94" s="149"/>
      <c r="B94" s="393" t="s">
        <v>365</v>
      </c>
      <c r="C94" s="393" t="s">
        <v>366</v>
      </c>
      <c r="D94" s="118">
        <v>1102</v>
      </c>
      <c r="E94" s="402" t="s">
        <v>124</v>
      </c>
      <c r="F94" s="393" t="s">
        <v>385</v>
      </c>
      <c r="G94" s="394" t="s">
        <v>44</v>
      </c>
      <c r="H94" s="395" t="s">
        <v>386</v>
      </c>
      <c r="I94" s="395">
        <f t="shared" si="36"/>
        <v>0.79930000000000001</v>
      </c>
      <c r="J94" s="396">
        <v>1</v>
      </c>
      <c r="K94" s="397">
        <v>1</v>
      </c>
      <c r="L94" s="397">
        <v>1</v>
      </c>
      <c r="M94" s="458">
        <v>151</v>
      </c>
      <c r="N94" s="396"/>
      <c r="O94" s="396"/>
      <c r="P94" s="398">
        <f t="shared" si="37"/>
        <v>151</v>
      </c>
      <c r="Q94" s="399">
        <v>1</v>
      </c>
      <c r="R94" s="400">
        <f t="shared" si="38"/>
        <v>0.46421000000000001</v>
      </c>
      <c r="S94" s="400">
        <f t="shared" si="39"/>
        <v>0.46421000000000001</v>
      </c>
      <c r="T94" s="153">
        <f t="shared" si="26"/>
        <v>432.77</v>
      </c>
      <c r="U94" s="153">
        <f t="shared" si="27"/>
        <v>432.77</v>
      </c>
      <c r="V94" s="153"/>
      <c r="W94" s="153">
        <f t="shared" si="40"/>
        <v>0</v>
      </c>
      <c r="X94" s="642">
        <f t="shared" si="41"/>
        <v>432.77</v>
      </c>
      <c r="Y94" s="642">
        <f t="shared" ref="Y94" si="42">SUM(X93:X94)</f>
        <v>865.54</v>
      </c>
    </row>
    <row r="95" spans="1:25" s="189" customFormat="1" x14ac:dyDescent="0.2">
      <c r="A95" s="467">
        <v>43</v>
      </c>
      <c r="B95" s="468" t="s">
        <v>368</v>
      </c>
      <c r="C95" s="468" t="s">
        <v>369</v>
      </c>
      <c r="D95" s="189">
        <v>1101</v>
      </c>
      <c r="E95" s="189" t="s">
        <v>124</v>
      </c>
      <c r="F95" s="468" t="s">
        <v>385</v>
      </c>
      <c r="G95" s="514" t="s">
        <v>44</v>
      </c>
      <c r="H95" s="469" t="s">
        <v>387</v>
      </c>
      <c r="I95" s="469">
        <f t="shared" ref="I95:I96" si="43">VLOOKUP(G95,tabella3,2)</f>
        <v>0.79930000000000001</v>
      </c>
      <c r="J95" s="515">
        <v>0</v>
      </c>
      <c r="K95" s="470">
        <v>1</v>
      </c>
      <c r="L95" s="470">
        <v>1</v>
      </c>
      <c r="M95" s="515">
        <f>ROUND((13+31)/365*260,0)</f>
        <v>31</v>
      </c>
      <c r="N95" s="515"/>
      <c r="O95" s="515"/>
      <c r="P95" s="516">
        <f t="shared" ref="P95:P96" si="44">IF(E95="GRUPPO",M95-O95,M95)</f>
        <v>31</v>
      </c>
      <c r="Q95" s="471">
        <v>1</v>
      </c>
      <c r="R95" s="517">
        <f t="shared" ref="R95:R96" si="45">ROUND(IF(M95&lt;100,0,L95*I95*J95*P95/260*Q95),5)</f>
        <v>0</v>
      </c>
      <c r="S95" s="517">
        <f t="shared" ref="S95:S96" si="46">ROUND(IF(M95&lt;100,0,K95*I95*J95*P95/260*Q95),5)</f>
        <v>0</v>
      </c>
      <c r="T95" s="518">
        <f t="shared" si="26"/>
        <v>0</v>
      </c>
      <c r="U95" s="518">
        <f t="shared" si="27"/>
        <v>0</v>
      </c>
      <c r="V95" s="518"/>
      <c r="W95" s="518">
        <f t="shared" ref="W95:W96" si="47">ROUND(T95/M95*V95,2)</f>
        <v>0</v>
      </c>
      <c r="X95" s="518">
        <f t="shared" ref="X95:X96" si="48">U95-W95</f>
        <v>0</v>
      </c>
      <c r="Y95" s="518"/>
    </row>
    <row r="96" spans="1:25" s="474" customFormat="1" x14ac:dyDescent="0.2">
      <c r="A96" s="472"/>
      <c r="B96" s="473" t="s">
        <v>368</v>
      </c>
      <c r="C96" s="473" t="s">
        <v>369</v>
      </c>
      <c r="D96" s="474">
        <v>1101</v>
      </c>
      <c r="E96" s="474" t="s">
        <v>124</v>
      </c>
      <c r="F96" s="473" t="s">
        <v>385</v>
      </c>
      <c r="G96" s="475" t="s">
        <v>44</v>
      </c>
      <c r="H96" s="476" t="s">
        <v>387</v>
      </c>
      <c r="I96" s="476">
        <f t="shared" si="43"/>
        <v>0.79930000000000001</v>
      </c>
      <c r="J96" s="477">
        <v>0</v>
      </c>
      <c r="K96" s="478">
        <v>1</v>
      </c>
      <c r="L96" s="478">
        <v>1</v>
      </c>
      <c r="M96" s="477">
        <v>31</v>
      </c>
      <c r="N96" s="477"/>
      <c r="O96" s="477"/>
      <c r="P96" s="479">
        <f t="shared" si="44"/>
        <v>31</v>
      </c>
      <c r="Q96" s="480">
        <v>1</v>
      </c>
      <c r="R96" s="481">
        <f t="shared" si="45"/>
        <v>0</v>
      </c>
      <c r="S96" s="481">
        <f t="shared" si="46"/>
        <v>0</v>
      </c>
      <c r="T96" s="482">
        <f t="shared" si="26"/>
        <v>0</v>
      </c>
      <c r="U96" s="482">
        <f t="shared" si="27"/>
        <v>0</v>
      </c>
      <c r="V96" s="482"/>
      <c r="W96" s="482">
        <f t="shared" si="47"/>
        <v>0</v>
      </c>
      <c r="X96" s="482">
        <f t="shared" si="48"/>
        <v>0</v>
      </c>
      <c r="Y96" s="482">
        <f t="shared" ref="Y96" si="49">SUM(X95:X96)</f>
        <v>0</v>
      </c>
    </row>
    <row r="97" spans="1:28" s="189" customFormat="1" x14ac:dyDescent="0.2">
      <c r="A97" s="467">
        <v>44</v>
      </c>
      <c r="B97" s="468" t="s">
        <v>371</v>
      </c>
      <c r="C97" s="468" t="s">
        <v>372</v>
      </c>
      <c r="D97" s="189">
        <v>1101</v>
      </c>
      <c r="E97" s="189" t="s">
        <v>124</v>
      </c>
      <c r="F97" s="468" t="s">
        <v>385</v>
      </c>
      <c r="G97" s="514" t="s">
        <v>44</v>
      </c>
      <c r="H97" s="469" t="s">
        <v>388</v>
      </c>
      <c r="I97" s="469">
        <f t="shared" ref="I97:I98" si="50">VLOOKUP(G97,tabella3,2)</f>
        <v>0.79930000000000001</v>
      </c>
      <c r="J97" s="515">
        <v>0</v>
      </c>
      <c r="K97" s="470">
        <v>1</v>
      </c>
      <c r="L97" s="470">
        <v>1</v>
      </c>
      <c r="M97" s="515">
        <f>ROUND(15/365*260,0)</f>
        <v>11</v>
      </c>
      <c r="N97" s="515"/>
      <c r="O97" s="515"/>
      <c r="P97" s="516">
        <f t="shared" ref="P97:P98" si="51">IF(E97="GRUPPO",M97-O97,M97)</f>
        <v>11</v>
      </c>
      <c r="Q97" s="471">
        <v>1</v>
      </c>
      <c r="R97" s="517">
        <f t="shared" ref="R97:R98" si="52">ROUND(IF(M97&lt;100,0,L97*I97*J97*P97/260*Q97),5)</f>
        <v>0</v>
      </c>
      <c r="S97" s="517">
        <f t="shared" ref="S97:S98" si="53">ROUND(IF(M97&lt;100,0,K97*I97*J97*P97/260*Q97),5)</f>
        <v>0</v>
      </c>
      <c r="T97" s="518">
        <f t="shared" si="26"/>
        <v>0</v>
      </c>
      <c r="U97" s="518">
        <f t="shared" si="27"/>
        <v>0</v>
      </c>
      <c r="V97" s="518"/>
      <c r="W97" s="518">
        <f t="shared" ref="W97:W98" si="54">ROUND(T97/M97*V97,2)</f>
        <v>0</v>
      </c>
      <c r="X97" s="518">
        <f t="shared" ref="X97:X98" si="55">U97-W97</f>
        <v>0</v>
      </c>
      <c r="Y97" s="518"/>
    </row>
    <row r="98" spans="1:28" s="474" customFormat="1" x14ac:dyDescent="0.2">
      <c r="A98" s="472"/>
      <c r="B98" s="473" t="s">
        <v>371</v>
      </c>
      <c r="C98" s="473" t="s">
        <v>372</v>
      </c>
      <c r="D98" s="474">
        <v>1101</v>
      </c>
      <c r="E98" s="474" t="s">
        <v>124</v>
      </c>
      <c r="F98" s="473" t="s">
        <v>385</v>
      </c>
      <c r="G98" s="475" t="s">
        <v>44</v>
      </c>
      <c r="H98" s="476" t="s">
        <v>388</v>
      </c>
      <c r="I98" s="476">
        <f t="shared" si="50"/>
        <v>0.79930000000000001</v>
      </c>
      <c r="J98" s="477">
        <v>0</v>
      </c>
      <c r="K98" s="478">
        <v>1</v>
      </c>
      <c r="L98" s="478">
        <v>1</v>
      </c>
      <c r="M98" s="477">
        <v>11</v>
      </c>
      <c r="N98" s="477"/>
      <c r="O98" s="477"/>
      <c r="P98" s="479">
        <f t="shared" si="51"/>
        <v>11</v>
      </c>
      <c r="Q98" s="480">
        <v>1</v>
      </c>
      <c r="R98" s="481">
        <f t="shared" si="52"/>
        <v>0</v>
      </c>
      <c r="S98" s="481">
        <f t="shared" si="53"/>
        <v>0</v>
      </c>
      <c r="T98" s="482">
        <f t="shared" si="26"/>
        <v>0</v>
      </c>
      <c r="U98" s="482">
        <f t="shared" si="27"/>
        <v>0</v>
      </c>
      <c r="V98" s="482"/>
      <c r="W98" s="482">
        <f t="shared" si="54"/>
        <v>0</v>
      </c>
      <c r="X98" s="482">
        <f t="shared" si="55"/>
        <v>0</v>
      </c>
      <c r="Y98" s="482">
        <f t="shared" ref="Y98" si="56">SUM(X97:X98)</f>
        <v>0</v>
      </c>
    </row>
    <row r="99" spans="1:28" s="189" customFormat="1" x14ac:dyDescent="0.2">
      <c r="A99" s="467">
        <v>45</v>
      </c>
      <c r="B99" s="468" t="s">
        <v>373</v>
      </c>
      <c r="C99" s="468" t="s">
        <v>93</v>
      </c>
      <c r="D99" s="189">
        <v>1102</v>
      </c>
      <c r="E99" s="189" t="s">
        <v>124</v>
      </c>
      <c r="F99" s="468" t="s">
        <v>385</v>
      </c>
      <c r="G99" s="514" t="s">
        <v>44</v>
      </c>
      <c r="H99" s="469" t="s">
        <v>388</v>
      </c>
      <c r="I99" s="469">
        <f t="shared" ref="I99:I100" si="57">VLOOKUP(G99,tabella3,2)</f>
        <v>0.79930000000000001</v>
      </c>
      <c r="J99" s="515">
        <v>0</v>
      </c>
      <c r="K99" s="470">
        <v>1</v>
      </c>
      <c r="L99" s="470">
        <v>1</v>
      </c>
      <c r="M99" s="515">
        <v>11</v>
      </c>
      <c r="N99" s="515"/>
      <c r="O99" s="515"/>
      <c r="P99" s="516">
        <f t="shared" ref="P99:P100" si="58">IF(E99="GRUPPO",M99-O99,M99)</f>
        <v>11</v>
      </c>
      <c r="Q99" s="471">
        <v>1</v>
      </c>
      <c r="R99" s="517">
        <f t="shared" ref="R99:R100" si="59">ROUND(IF(M99&lt;100,0,L99*I99*J99*P99/260*Q99),5)</f>
        <v>0</v>
      </c>
      <c r="S99" s="517">
        <f t="shared" ref="S99:S100" si="60">ROUND(IF(M99&lt;100,0,K99*I99*J99*P99/260*Q99),5)</f>
        <v>0</v>
      </c>
      <c r="T99" s="518">
        <f t="shared" si="26"/>
        <v>0</v>
      </c>
      <c r="U99" s="518">
        <f t="shared" si="27"/>
        <v>0</v>
      </c>
      <c r="V99" s="518"/>
      <c r="W99" s="518">
        <f t="shared" ref="W99:W100" si="61">ROUND(T99/M99*V99,2)</f>
        <v>0</v>
      </c>
      <c r="X99" s="518">
        <f t="shared" ref="X99:X100" si="62">U99-W99</f>
        <v>0</v>
      </c>
      <c r="Y99" s="518"/>
    </row>
    <row r="100" spans="1:28" s="474" customFormat="1" x14ac:dyDescent="0.2">
      <c r="A100" s="472"/>
      <c r="B100" s="473" t="s">
        <v>373</v>
      </c>
      <c r="C100" s="473" t="s">
        <v>93</v>
      </c>
      <c r="D100" s="474">
        <v>1102</v>
      </c>
      <c r="E100" s="474" t="s">
        <v>124</v>
      </c>
      <c r="F100" s="473" t="s">
        <v>385</v>
      </c>
      <c r="G100" s="475" t="s">
        <v>44</v>
      </c>
      <c r="H100" s="476" t="s">
        <v>388</v>
      </c>
      <c r="I100" s="476">
        <f t="shared" si="57"/>
        <v>0.79930000000000001</v>
      </c>
      <c r="J100" s="477">
        <v>0</v>
      </c>
      <c r="K100" s="478">
        <v>1</v>
      </c>
      <c r="L100" s="478">
        <v>1</v>
      </c>
      <c r="M100" s="477">
        <v>11</v>
      </c>
      <c r="N100" s="477"/>
      <c r="O100" s="477"/>
      <c r="P100" s="479">
        <f t="shared" si="58"/>
        <v>11</v>
      </c>
      <c r="Q100" s="480">
        <v>1</v>
      </c>
      <c r="R100" s="481">
        <f t="shared" si="59"/>
        <v>0</v>
      </c>
      <c r="S100" s="481">
        <f t="shared" si="60"/>
        <v>0</v>
      </c>
      <c r="T100" s="482">
        <f t="shared" ref="T100:T102" si="63">ROUND($D$107*S100,2)</f>
        <v>0</v>
      </c>
      <c r="U100" s="482">
        <f t="shared" si="27"/>
        <v>0</v>
      </c>
      <c r="V100" s="482"/>
      <c r="W100" s="482">
        <f t="shared" si="61"/>
        <v>0</v>
      </c>
      <c r="X100" s="482">
        <f t="shared" si="62"/>
        <v>0</v>
      </c>
      <c r="Y100" s="482">
        <f t="shared" ref="Y100" si="64">SUM(X99:X100)</f>
        <v>0</v>
      </c>
    </row>
    <row r="101" spans="1:28" s="189" customFormat="1" x14ac:dyDescent="0.2">
      <c r="A101" s="467">
        <v>46</v>
      </c>
      <c r="B101" s="468" t="s">
        <v>374</v>
      </c>
      <c r="C101" s="468" t="s">
        <v>375</v>
      </c>
      <c r="D101" s="189">
        <v>1101</v>
      </c>
      <c r="E101" s="189" t="s">
        <v>124</v>
      </c>
      <c r="F101" s="468" t="s">
        <v>385</v>
      </c>
      <c r="G101" s="514" t="s">
        <v>44</v>
      </c>
      <c r="H101" s="469" t="s">
        <v>388</v>
      </c>
      <c r="I101" s="469">
        <f t="shared" ref="I101:I102" si="65">VLOOKUP(G101,tabella3,2)</f>
        <v>0.79930000000000001</v>
      </c>
      <c r="J101" s="515">
        <v>0</v>
      </c>
      <c r="K101" s="470">
        <v>1</v>
      </c>
      <c r="L101" s="470">
        <v>1</v>
      </c>
      <c r="M101" s="515">
        <v>11</v>
      </c>
      <c r="N101" s="515"/>
      <c r="O101" s="515"/>
      <c r="P101" s="516">
        <f t="shared" ref="P101:P102" si="66">IF(E101="GRUPPO",M101-O101,M101)</f>
        <v>11</v>
      </c>
      <c r="Q101" s="471">
        <v>1</v>
      </c>
      <c r="R101" s="517">
        <f t="shared" ref="R101:R102" si="67">ROUND(IF(M101&lt;100,0,L101*I101*J101*P101/260*Q101),5)</f>
        <v>0</v>
      </c>
      <c r="S101" s="517">
        <f t="shared" ref="S101:S102" si="68">ROUND(IF(M101&lt;100,0,K101*I101*J101*P101/260*Q101),5)</f>
        <v>0</v>
      </c>
      <c r="T101" s="518">
        <f t="shared" si="63"/>
        <v>0</v>
      </c>
      <c r="U101" s="518">
        <f t="shared" si="27"/>
        <v>0</v>
      </c>
      <c r="V101" s="518"/>
      <c r="W101" s="518">
        <f t="shared" ref="W101:W102" si="69">ROUND(T101/M101*V101,2)</f>
        <v>0</v>
      </c>
      <c r="X101" s="518">
        <f t="shared" ref="X101:X102" si="70">U101-W101</f>
        <v>0</v>
      </c>
      <c r="Y101" s="518"/>
    </row>
    <row r="102" spans="1:28" s="474" customFormat="1" x14ac:dyDescent="0.2">
      <c r="A102" s="472"/>
      <c r="B102" s="473" t="s">
        <v>374</v>
      </c>
      <c r="C102" s="473" t="s">
        <v>375</v>
      </c>
      <c r="D102" s="474">
        <v>1101</v>
      </c>
      <c r="E102" s="474" t="s">
        <v>124</v>
      </c>
      <c r="F102" s="473" t="s">
        <v>385</v>
      </c>
      <c r="G102" s="475" t="s">
        <v>44</v>
      </c>
      <c r="H102" s="476" t="s">
        <v>388</v>
      </c>
      <c r="I102" s="476">
        <f t="shared" si="65"/>
        <v>0.79930000000000001</v>
      </c>
      <c r="J102" s="477">
        <v>0</v>
      </c>
      <c r="K102" s="478">
        <v>1</v>
      </c>
      <c r="L102" s="478">
        <v>1</v>
      </c>
      <c r="M102" s="477">
        <v>11</v>
      </c>
      <c r="N102" s="477"/>
      <c r="O102" s="477"/>
      <c r="P102" s="479">
        <f t="shared" si="66"/>
        <v>11</v>
      </c>
      <c r="Q102" s="480">
        <v>1</v>
      </c>
      <c r="R102" s="481">
        <f t="shared" si="67"/>
        <v>0</v>
      </c>
      <c r="S102" s="481">
        <f t="shared" si="68"/>
        <v>0</v>
      </c>
      <c r="T102" s="482">
        <f t="shared" si="63"/>
        <v>0</v>
      </c>
      <c r="U102" s="482">
        <f t="shared" si="27"/>
        <v>0</v>
      </c>
      <c r="V102" s="482"/>
      <c r="W102" s="482">
        <f t="shared" si="69"/>
        <v>0</v>
      </c>
      <c r="X102" s="482">
        <f t="shared" si="70"/>
        <v>0</v>
      </c>
      <c r="Y102" s="482">
        <f t="shared" ref="Y102" si="71">SUM(X101:X102)</f>
        <v>0</v>
      </c>
    </row>
    <row r="103" spans="1:28" customFormat="1" x14ac:dyDescent="0.2">
      <c r="A103" s="31"/>
      <c r="B103" s="146"/>
      <c r="C103" s="146"/>
      <c r="E103" s="21"/>
      <c r="F103" s="146"/>
      <c r="G103" s="401"/>
      <c r="H103" s="144"/>
      <c r="I103" s="144"/>
      <c r="J103" s="39"/>
      <c r="K103" s="390"/>
      <c r="L103" s="390"/>
      <c r="M103" s="457"/>
      <c r="N103" s="39"/>
      <c r="O103" s="39"/>
      <c r="P103" s="391"/>
      <c r="Q103" s="83"/>
      <c r="R103" s="392"/>
      <c r="S103" s="392"/>
      <c r="T103" s="40"/>
      <c r="U103" s="40"/>
      <c r="V103" s="40"/>
      <c r="W103" s="40"/>
      <c r="X103" s="135"/>
      <c r="Y103" s="135"/>
    </row>
    <row r="104" spans="1:28" customFormat="1" x14ac:dyDescent="0.2">
      <c r="A104" s="31"/>
      <c r="B104" s="146"/>
      <c r="C104" s="146"/>
      <c r="E104" s="21"/>
      <c r="F104" s="146"/>
      <c r="G104" s="401"/>
      <c r="H104" s="144"/>
      <c r="I104" s="144"/>
      <c r="J104" s="39"/>
      <c r="K104" s="390"/>
      <c r="L104" s="390"/>
      <c r="M104" s="457"/>
      <c r="N104" s="39"/>
      <c r="O104" s="39"/>
      <c r="P104" s="391"/>
      <c r="Q104" s="83"/>
      <c r="R104" s="392"/>
      <c r="S104" s="392"/>
      <c r="T104" s="40"/>
      <c r="U104" s="40"/>
      <c r="V104" s="40"/>
      <c r="W104" s="40"/>
      <c r="X104" s="135"/>
      <c r="Y104" s="135"/>
    </row>
    <row r="105" spans="1:28" s="604" customFormat="1" ht="15.75" x14ac:dyDescent="0.25">
      <c r="A105" s="603"/>
      <c r="C105" s="604" t="s">
        <v>11</v>
      </c>
      <c r="E105" s="671"/>
      <c r="G105" s="605"/>
      <c r="I105" s="606">
        <f>SUM(I4:I102)</f>
        <v>81.903100000000109</v>
      </c>
      <c r="J105" s="606">
        <f t="shared" ref="J105:Y105" si="72">SUM(J4:J102)</f>
        <v>91</v>
      </c>
      <c r="K105" s="606">
        <f t="shared" si="72"/>
        <v>99</v>
      </c>
      <c r="L105" s="606">
        <f t="shared" si="72"/>
        <v>99</v>
      </c>
      <c r="M105" s="606">
        <f t="shared" si="72"/>
        <v>22599</v>
      </c>
      <c r="N105" s="606">
        <f t="shared" si="72"/>
        <v>364</v>
      </c>
      <c r="O105" s="606">
        <f t="shared" si="72"/>
        <v>470</v>
      </c>
      <c r="P105" s="606">
        <f t="shared" si="72"/>
        <v>22262</v>
      </c>
      <c r="Q105" s="606">
        <f t="shared" si="72"/>
        <v>89.032283333333339</v>
      </c>
      <c r="R105" s="606">
        <f t="shared" si="72"/>
        <v>62.91555000000001</v>
      </c>
      <c r="S105" s="606">
        <f t="shared" si="72"/>
        <v>62.91555000000001</v>
      </c>
      <c r="T105" s="606">
        <f t="shared" si="72"/>
        <v>58653.900000000023</v>
      </c>
      <c r="U105" s="606">
        <f t="shared" si="72"/>
        <v>58653.900000000023</v>
      </c>
      <c r="V105" s="606">
        <f t="shared" si="72"/>
        <v>246</v>
      </c>
      <c r="W105" s="606">
        <f t="shared" si="72"/>
        <v>661.47999999999979</v>
      </c>
      <c r="X105" s="606">
        <f t="shared" si="72"/>
        <v>57992.380000000012</v>
      </c>
      <c r="Y105" s="606">
        <f t="shared" si="72"/>
        <v>57992.380000000005</v>
      </c>
    </row>
    <row r="106" spans="1:28" ht="13.5" thickBot="1" x14ac:dyDescent="0.25">
      <c r="A106" s="276"/>
      <c r="B106" s="265"/>
      <c r="C106" s="265"/>
      <c r="G106" s="301"/>
      <c r="I106" s="249"/>
      <c r="J106" s="277"/>
      <c r="K106" s="277"/>
      <c r="L106" s="306"/>
      <c r="M106" s="277"/>
      <c r="P106" s="304"/>
      <c r="Q106" s="278"/>
      <c r="R106" s="281"/>
      <c r="S106" s="281"/>
      <c r="T106" s="269"/>
      <c r="U106" s="269"/>
      <c r="V106" s="269"/>
      <c r="W106" s="269"/>
      <c r="X106" s="270"/>
      <c r="Y106" s="269"/>
    </row>
    <row r="107" spans="1:28" ht="13.5" thickBot="1" x14ac:dyDescent="0.25">
      <c r="A107" s="276"/>
      <c r="C107" s="271" t="s">
        <v>219</v>
      </c>
      <c r="D107" s="271">
        <f>ROUND(F107/S105,5)</f>
        <v>932.26333</v>
      </c>
      <c r="F107" s="326">
        <f>ROUND(CALCOLI!B64,2)</f>
        <v>58653.86</v>
      </c>
      <c r="G107" s="327" t="s">
        <v>220</v>
      </c>
      <c r="I107" s="249"/>
      <c r="J107" s="277"/>
      <c r="K107" s="277"/>
      <c r="L107" s="306"/>
      <c r="M107" s="277"/>
      <c r="P107" s="304"/>
      <c r="Q107" s="278"/>
      <c r="R107" s="281"/>
      <c r="S107" s="281"/>
      <c r="T107" s="707" t="s">
        <v>234</v>
      </c>
      <c r="U107" s="708"/>
      <c r="V107" s="708"/>
      <c r="W107" s="522">
        <f>+W105</f>
        <v>661.47999999999979</v>
      </c>
      <c r="X107" s="270"/>
      <c r="Y107" s="269"/>
    </row>
    <row r="108" spans="1:28" s="294" customFormat="1" x14ac:dyDescent="0.2">
      <c r="A108" s="271" t="s">
        <v>301</v>
      </c>
      <c r="B108" s="275"/>
      <c r="C108" s="275"/>
      <c r="D108" s="271"/>
      <c r="E108"/>
      <c r="F108" s="265"/>
      <c r="G108" s="322"/>
      <c r="H108" s="267"/>
      <c r="I108" s="249"/>
      <c r="J108" s="277"/>
      <c r="K108" s="277"/>
      <c r="L108" s="306"/>
      <c r="M108" s="277"/>
      <c r="N108" s="276"/>
      <c r="O108" s="267"/>
      <c r="P108" s="304"/>
      <c r="Q108" s="278"/>
      <c r="R108" s="281"/>
      <c r="S108" s="281"/>
      <c r="T108" s="269"/>
      <c r="U108" s="269"/>
      <c r="V108" s="269"/>
      <c r="W108" s="269"/>
      <c r="X108" s="270"/>
      <c r="Y108" s="278"/>
      <c r="Z108" s="269"/>
      <c r="AA108" s="269"/>
      <c r="AB108" s="270"/>
    </row>
    <row r="109" spans="1:28" s="485" customFormat="1" x14ac:dyDescent="0.2">
      <c r="A109" s="483">
        <v>44</v>
      </c>
      <c r="B109" s="484"/>
      <c r="C109" s="484"/>
      <c r="E109" s="672"/>
      <c r="F109" s="484" t="s">
        <v>300</v>
      </c>
      <c r="G109" s="486" t="s">
        <v>44</v>
      </c>
      <c r="H109" s="487"/>
      <c r="I109" s="487">
        <f>VLOOKUP(G109,tabella3,2)</f>
        <v>0.79930000000000001</v>
      </c>
      <c r="J109" s="488">
        <v>1</v>
      </c>
      <c r="K109" s="489">
        <v>1</v>
      </c>
      <c r="L109" s="489">
        <v>0</v>
      </c>
      <c r="M109" s="488">
        <v>202</v>
      </c>
      <c r="N109" s="488">
        <v>3</v>
      </c>
      <c r="O109" s="488">
        <v>3</v>
      </c>
      <c r="P109" s="490">
        <f>IF(E109="GRUPPO",M109-O109,M109)</f>
        <v>202</v>
      </c>
      <c r="Q109" s="491">
        <v>0.5</v>
      </c>
      <c r="R109" s="492">
        <f>ROUND(IF(M109&lt;60,0,L109*I109*J109*P109/260*Q109),5)</f>
        <v>0</v>
      </c>
      <c r="S109" s="492">
        <f>ROUND(IF(M109&lt;60,0,K109*I109*J109*P109/260*Q109),5)</f>
        <v>0.3105</v>
      </c>
      <c r="T109" s="493">
        <f>ROUND($D$107*S109,2)</f>
        <v>289.47000000000003</v>
      </c>
      <c r="U109" s="493">
        <f>ROUND($D$107*R109,2)</f>
        <v>0</v>
      </c>
      <c r="V109" s="493"/>
      <c r="W109" s="493">
        <v>0</v>
      </c>
      <c r="X109" s="494">
        <f>U109-W109</f>
        <v>0</v>
      </c>
      <c r="Y109" s="493"/>
    </row>
    <row r="110" spans="1:28" s="497" customFormat="1" x14ac:dyDescent="0.2">
      <c r="A110" s="495"/>
      <c r="B110" s="496"/>
      <c r="C110" s="496"/>
      <c r="E110" s="673"/>
      <c r="F110" s="496" t="s">
        <v>300</v>
      </c>
      <c r="G110" s="498" t="s">
        <v>44</v>
      </c>
      <c r="H110" s="499"/>
      <c r="I110" s="499">
        <f>VLOOKUP(G110,tabella3,2)</f>
        <v>0.79930000000000001</v>
      </c>
      <c r="J110" s="500">
        <v>1</v>
      </c>
      <c r="K110" s="501">
        <v>1</v>
      </c>
      <c r="L110" s="501">
        <v>0</v>
      </c>
      <c r="M110" s="488">
        <v>202</v>
      </c>
      <c r="N110" s="500">
        <v>3</v>
      </c>
      <c r="O110" s="500">
        <v>3</v>
      </c>
      <c r="P110" s="602">
        <f>IF(E110="GRUPPO",M110-O110,M110)</f>
        <v>202</v>
      </c>
      <c r="Q110" s="502">
        <v>0.5</v>
      </c>
      <c r="R110" s="503">
        <f>ROUND(IF(M110&lt;60,0,L110*I110*J110*P110/260*Q110),5)</f>
        <v>0</v>
      </c>
      <c r="S110" s="503">
        <f>ROUND(IF(M110&lt;60,0,K110*I110*J110*P110/260*Q110),5)</f>
        <v>0.3105</v>
      </c>
      <c r="T110" s="504">
        <f>ROUND($D$107*S110,2)</f>
        <v>289.47000000000003</v>
      </c>
      <c r="U110" s="504">
        <f>ROUND($D$107*R110,2)</f>
        <v>0</v>
      </c>
      <c r="V110" s="504"/>
      <c r="W110" s="493">
        <f>ROUND(T110/M110*V110,2)</f>
        <v>0</v>
      </c>
      <c r="X110" s="505">
        <f>U110-W110</f>
        <v>0</v>
      </c>
      <c r="Y110" s="504">
        <f>SUM(X109:X110)</f>
        <v>0</v>
      </c>
    </row>
    <row r="111" spans="1:28" x14ac:dyDescent="0.2">
      <c r="B111" s="275"/>
      <c r="C111" s="275"/>
      <c r="F111" s="265"/>
      <c r="G111" s="322"/>
      <c r="H111" s="267"/>
      <c r="I111" s="249"/>
      <c r="J111" s="277"/>
      <c r="K111" s="277"/>
      <c r="L111" s="306"/>
      <c r="M111" s="277"/>
      <c r="N111" s="276"/>
      <c r="O111" s="267"/>
      <c r="P111" s="304"/>
      <c r="Q111" s="278"/>
      <c r="R111" s="281"/>
      <c r="S111" s="281"/>
      <c r="T111" s="269"/>
      <c r="U111" s="269"/>
      <c r="V111" s="269"/>
      <c r="W111" s="269"/>
      <c r="X111" s="270"/>
      <c r="Y111" s="278"/>
      <c r="Z111" s="269"/>
      <c r="AA111" s="269"/>
      <c r="AB111" s="270"/>
    </row>
    <row r="112" spans="1:28" x14ac:dyDescent="0.2">
      <c r="H112" s="286"/>
      <c r="N112" s="328"/>
      <c r="R112" s="294" t="s">
        <v>261</v>
      </c>
      <c r="S112" s="294"/>
      <c r="T112" s="330"/>
      <c r="U112" s="330"/>
      <c r="V112" s="330"/>
      <c r="W112" s="330"/>
      <c r="X112" s="702">
        <f>T105-U105</f>
        <v>0</v>
      </c>
      <c r="Y112" s="702"/>
      <c r="Z112" s="294"/>
      <c r="AA112" s="294"/>
      <c r="AB112" s="294"/>
    </row>
    <row r="113" spans="1:17" x14ac:dyDescent="0.2">
      <c r="B113" s="271" t="s">
        <v>126</v>
      </c>
      <c r="H113" s="288"/>
    </row>
    <row r="114" spans="1:17" x14ac:dyDescent="0.2">
      <c r="A114" s="381" t="s">
        <v>311</v>
      </c>
      <c r="B114" s="275"/>
      <c r="C114" s="275"/>
      <c r="H114" s="289"/>
      <c r="I114" s="287"/>
      <c r="J114" s="287"/>
      <c r="K114" s="287"/>
      <c r="P114" s="331"/>
      <c r="Q114" s="290"/>
    </row>
    <row r="115" spans="1:17" x14ac:dyDescent="0.2">
      <c r="B115" s="266" t="s">
        <v>257</v>
      </c>
      <c r="H115" s="291"/>
      <c r="I115" s="292"/>
      <c r="J115" s="292"/>
      <c r="K115" s="292"/>
      <c r="P115" s="331"/>
      <c r="Q115" s="290"/>
    </row>
    <row r="116" spans="1:17" x14ac:dyDescent="0.2">
      <c r="B116" s="272"/>
      <c r="C116" s="286"/>
      <c r="D116" s="332"/>
      <c r="E116" s="61"/>
      <c r="G116" s="333"/>
      <c r="H116" s="289"/>
      <c r="I116" s="287"/>
      <c r="J116" s="287"/>
      <c r="K116" s="287"/>
      <c r="L116" s="287"/>
      <c r="M116" s="287"/>
      <c r="P116" s="331"/>
      <c r="Q116" s="290"/>
    </row>
    <row r="117" spans="1:17" x14ac:dyDescent="0.2">
      <c r="A117" s="703" t="s">
        <v>286</v>
      </c>
      <c r="B117" s="703"/>
      <c r="C117" s="334">
        <f>SUMIF(E4:E110,"GRUPPO",X4:X110)</f>
        <v>44956.650000000009</v>
      </c>
      <c r="D117" s="334"/>
      <c r="E117" s="674"/>
      <c r="F117" s="334"/>
      <c r="G117" s="335"/>
      <c r="H117" s="336"/>
      <c r="I117" s="287"/>
      <c r="J117" s="287"/>
      <c r="K117" s="287"/>
      <c r="L117" s="292"/>
      <c r="M117" s="292"/>
      <c r="O117" s="283"/>
      <c r="P117" s="337"/>
      <c r="Q117" s="293"/>
    </row>
    <row r="118" spans="1:17" x14ac:dyDescent="0.2">
      <c r="A118" s="703" t="s">
        <v>287</v>
      </c>
      <c r="B118" s="703"/>
      <c r="C118" s="334">
        <f>SUMIF(E4:E110,"IND",X4:X110)</f>
        <v>13035.730000000003</v>
      </c>
      <c r="D118" s="334"/>
      <c r="E118" s="675"/>
      <c r="F118" s="338"/>
      <c r="G118" s="335"/>
      <c r="H118" s="288"/>
      <c r="L118" s="287"/>
      <c r="M118" s="287"/>
      <c r="P118" s="331"/>
      <c r="Q118" s="290"/>
    </row>
    <row r="119" spans="1:17" ht="14.25" x14ac:dyDescent="0.2">
      <c r="A119" s="339"/>
      <c r="B119" s="272"/>
      <c r="C119" s="334">
        <f>SUM(C117:C118)</f>
        <v>57992.380000000012</v>
      </c>
      <c r="D119" s="340"/>
      <c r="E119" s="676"/>
      <c r="F119" s="340"/>
      <c r="G119" s="341"/>
      <c r="H119" s="288"/>
      <c r="L119" s="287"/>
      <c r="M119" s="287"/>
      <c r="P119" s="331"/>
      <c r="Q119" s="290"/>
    </row>
    <row r="120" spans="1:17" x14ac:dyDescent="0.2">
      <c r="A120" s="287"/>
      <c r="B120" s="287"/>
      <c r="C120" s="334"/>
      <c r="D120" s="334"/>
      <c r="E120" s="675"/>
      <c r="F120" s="338"/>
      <c r="G120" s="335"/>
      <c r="H120" s="342"/>
      <c r="I120" s="272"/>
      <c r="J120" s="272"/>
      <c r="K120" s="272"/>
    </row>
    <row r="121" spans="1:17" x14ac:dyDescent="0.2">
      <c r="A121" s="287"/>
      <c r="C121" s="334"/>
      <c r="D121" s="334"/>
      <c r="E121" s="675"/>
      <c r="F121" s="334"/>
      <c r="G121" s="335"/>
      <c r="H121" s="288"/>
    </row>
    <row r="122" spans="1:17" x14ac:dyDescent="0.2">
      <c r="A122" s="287"/>
      <c r="C122" s="343"/>
      <c r="D122" s="334"/>
      <c r="E122" s="675"/>
      <c r="F122" s="343"/>
      <c r="G122" s="335"/>
      <c r="H122" s="288"/>
      <c r="L122" s="272"/>
      <c r="M122" s="272"/>
      <c r="O122" s="283"/>
      <c r="P122" s="344"/>
      <c r="Q122" s="273"/>
    </row>
    <row r="123" spans="1:17" x14ac:dyDescent="0.2">
      <c r="A123" s="292"/>
      <c r="B123" s="272"/>
      <c r="C123" s="345"/>
      <c r="D123" s="340"/>
      <c r="E123" s="676"/>
      <c r="F123" s="340"/>
      <c r="G123" s="341"/>
      <c r="H123" s="346"/>
      <c r="I123" s="294"/>
      <c r="J123" s="294"/>
      <c r="K123" s="294"/>
    </row>
    <row r="124" spans="1:17" x14ac:dyDescent="0.2">
      <c r="A124" s="347" t="s">
        <v>267</v>
      </c>
      <c r="B124" s="266" t="s">
        <v>268</v>
      </c>
      <c r="C124" s="343"/>
      <c r="D124" s="343"/>
      <c r="E124" s="677"/>
      <c r="F124" s="343"/>
      <c r="G124" s="335"/>
      <c r="H124" s="346"/>
      <c r="I124" s="294"/>
      <c r="J124" s="294"/>
      <c r="K124" s="294"/>
    </row>
    <row r="125" spans="1:17" x14ac:dyDescent="0.2">
      <c r="A125" s="272"/>
      <c r="B125" s="272" t="s">
        <v>269</v>
      </c>
      <c r="C125" s="340"/>
      <c r="D125" s="340"/>
      <c r="E125" s="676"/>
      <c r="F125" s="340"/>
      <c r="G125" s="341"/>
      <c r="H125" s="346"/>
      <c r="I125" s="294"/>
      <c r="J125" s="294"/>
      <c r="K125" s="294"/>
      <c r="L125" s="294"/>
      <c r="M125" s="294"/>
      <c r="O125" s="348"/>
      <c r="P125" s="349"/>
      <c r="Q125" s="350"/>
    </row>
    <row r="126" spans="1:17" x14ac:dyDescent="0.2">
      <c r="C126" s="343"/>
      <c r="D126" s="343"/>
      <c r="E126" s="677"/>
      <c r="F126" s="343"/>
      <c r="G126" s="335"/>
      <c r="L126" s="294"/>
      <c r="M126" s="294"/>
      <c r="O126" s="348"/>
      <c r="P126" s="349"/>
      <c r="Q126" s="350"/>
    </row>
    <row r="127" spans="1:17" x14ac:dyDescent="0.2">
      <c r="A127" s="351" t="s">
        <v>37</v>
      </c>
      <c r="B127" s="352">
        <v>0.70850000000000002</v>
      </c>
      <c r="C127" s="343"/>
      <c r="D127" s="343"/>
      <c r="E127" s="677"/>
      <c r="F127" s="343"/>
      <c r="G127" s="335"/>
      <c r="L127" s="294"/>
      <c r="M127" s="294"/>
      <c r="O127" s="348"/>
      <c r="P127" s="349"/>
      <c r="Q127" s="350"/>
    </row>
    <row r="128" spans="1:17" x14ac:dyDescent="0.2">
      <c r="A128" s="353" t="s">
        <v>122</v>
      </c>
      <c r="B128" s="354">
        <v>0.749</v>
      </c>
      <c r="C128" s="295"/>
      <c r="D128" s="296"/>
      <c r="E128" s="678"/>
      <c r="F128" s="296"/>
      <c r="G128" s="355"/>
    </row>
    <row r="129" spans="1:7" x14ac:dyDescent="0.2">
      <c r="A129" s="353" t="s">
        <v>44</v>
      </c>
      <c r="B129" s="354">
        <v>0.79930000000000001</v>
      </c>
      <c r="C129" s="295"/>
      <c r="D129" s="295"/>
      <c r="E129" s="679"/>
      <c r="F129" s="295"/>
      <c r="G129" s="355"/>
    </row>
    <row r="130" spans="1:7" x14ac:dyDescent="0.2">
      <c r="A130" s="353" t="s">
        <v>47</v>
      </c>
      <c r="B130" s="354">
        <v>0.86970000000000003</v>
      </c>
      <c r="C130" s="295"/>
      <c r="D130" s="295"/>
      <c r="E130" s="679"/>
      <c r="F130" s="295"/>
      <c r="G130" s="355"/>
    </row>
    <row r="131" spans="1:7" x14ac:dyDescent="0.2">
      <c r="A131" s="356" t="s">
        <v>50</v>
      </c>
      <c r="B131" s="357">
        <v>1</v>
      </c>
      <c r="C131" s="358"/>
      <c r="D131" s="343"/>
      <c r="E131" s="677"/>
      <c r="F131" s="343"/>
      <c r="G131" s="335"/>
    </row>
    <row r="133" spans="1:7" x14ac:dyDescent="0.2">
      <c r="A133" s="8" t="s">
        <v>111</v>
      </c>
      <c r="B133" s="30"/>
      <c r="C133" s="30"/>
      <c r="D133"/>
    </row>
    <row r="134" spans="1:7" x14ac:dyDescent="0.2">
      <c r="A134"/>
      <c r="B134"/>
      <c r="C134" s="3">
        <v>1103</v>
      </c>
      <c r="D134" t="s">
        <v>113</v>
      </c>
    </row>
    <row r="135" spans="1:7" x14ac:dyDescent="0.2">
      <c r="A135"/>
      <c r="B135"/>
      <c r="C135" s="68"/>
      <c r="D135" s="88"/>
    </row>
    <row r="136" spans="1:7" x14ac:dyDescent="0.2">
      <c r="A136"/>
      <c r="B136"/>
      <c r="C136" s="68"/>
      <c r="D136" s="88"/>
    </row>
    <row r="137" spans="1:7" x14ac:dyDescent="0.2">
      <c r="A137"/>
      <c r="B137" s="21" t="s">
        <v>223</v>
      </c>
      <c r="C137" s="54">
        <f>SUMIF($D$4:$D$92,"1101",$T$4:$T$92)</f>
        <v>34997.900000000009</v>
      </c>
      <c r="D137" s="163">
        <f>ROUND(C137*23.8%,2)</f>
        <v>8329.5</v>
      </c>
    </row>
    <row r="138" spans="1:7" x14ac:dyDescent="0.2">
      <c r="A138"/>
      <c r="B138" s="21" t="s">
        <v>143</v>
      </c>
      <c r="C138" s="54"/>
      <c r="D138" s="164">
        <f>ROUND(C138*23.8%,2)</f>
        <v>0</v>
      </c>
    </row>
    <row r="139" spans="1:7" x14ac:dyDescent="0.2">
      <c r="A139" s="59"/>
      <c r="B139" s="3" t="s">
        <v>224</v>
      </c>
      <c r="C139" s="65"/>
      <c r="D139" s="66">
        <f>SUM(D137:D138)+C138</f>
        <v>8329.5</v>
      </c>
    </row>
    <row r="140" spans="1:7" x14ac:dyDescent="0.2">
      <c r="A140" s="55"/>
      <c r="B140" s="55"/>
      <c r="C140" s="63"/>
      <c r="D140" s="63"/>
    </row>
    <row r="141" spans="1:7" x14ac:dyDescent="0.2">
      <c r="A141" s="55"/>
      <c r="B141" t="s">
        <v>225</v>
      </c>
      <c r="C141" s="54">
        <f>SUMIF($D$4:$D$92,"1102",$T$4:$T$92)</f>
        <v>22790.460000000003</v>
      </c>
      <c r="D141" s="63">
        <f>ROUND(C141*23.8%,2)</f>
        <v>5424.13</v>
      </c>
    </row>
    <row r="142" spans="1:7" x14ac:dyDescent="0.2">
      <c r="A142" s="55"/>
      <c r="B142" t="s">
        <v>226</v>
      </c>
      <c r="C142" s="41"/>
      <c r="D142" s="119">
        <f>(C142*23.8%)</f>
        <v>0</v>
      </c>
    </row>
    <row r="143" spans="1:7" x14ac:dyDescent="0.2">
      <c r="A143" s="59"/>
      <c r="B143" s="3" t="s">
        <v>227</v>
      </c>
      <c r="C143" s="65"/>
      <c r="D143" s="66">
        <f>SUM(D141:D142)</f>
        <v>5424.13</v>
      </c>
    </row>
    <row r="144" spans="1:7" x14ac:dyDescent="0.2">
      <c r="A144" s="55"/>
      <c r="B144"/>
      <c r="C144" s="41"/>
      <c r="D144" s="41"/>
    </row>
    <row r="145" spans="1:4" x14ac:dyDescent="0.2">
      <c r="A145" s="3" t="s">
        <v>114</v>
      </c>
      <c r="B145" s="3"/>
      <c r="C145" s="66"/>
      <c r="D145" s="66"/>
    </row>
    <row r="146" spans="1:4" x14ac:dyDescent="0.2">
      <c r="A146"/>
      <c r="B146"/>
      <c r="C146" s="41"/>
      <c r="D146" s="41"/>
    </row>
    <row r="147" spans="1:4" x14ac:dyDescent="0.2">
      <c r="A147"/>
      <c r="B147">
        <v>1103</v>
      </c>
      <c r="C147" s="41">
        <f>C137+C141</f>
        <v>57788.360000000015</v>
      </c>
      <c r="D147" s="41"/>
    </row>
    <row r="148" spans="1:4" x14ac:dyDescent="0.2">
      <c r="A148" s="16"/>
      <c r="B148" s="16">
        <v>1101</v>
      </c>
      <c r="C148" s="71">
        <f>D139</f>
        <v>8329.5</v>
      </c>
      <c r="D148" s="72"/>
    </row>
    <row r="149" spans="1:4" x14ac:dyDescent="0.2">
      <c r="A149" s="16"/>
      <c r="B149" s="16">
        <v>1102</v>
      </c>
      <c r="C149" s="71">
        <f>D143</f>
        <v>5424.13</v>
      </c>
      <c r="D149" s="71"/>
    </row>
  </sheetData>
  <mergeCells count="6">
    <mergeCell ref="A1:X1"/>
    <mergeCell ref="X112:Y112"/>
    <mergeCell ref="A117:B117"/>
    <mergeCell ref="A118:B118"/>
    <mergeCell ref="H26:H29"/>
    <mergeCell ref="T107:V107"/>
  </mergeCells>
  <phoneticPr fontId="7" type="noConversion"/>
  <pageMargins left="0.15748031496062992" right="0.19685039370078741" top="0" bottom="0" header="0.51181102362204722" footer="0"/>
  <pageSetup paperSize="9" scale="39" orientation="landscape" r:id="rId1"/>
  <headerFooter alignWithMargins="0"/>
  <rowBreaks count="1" manualBreakCount="1">
    <brk id="5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4"/>
  <sheetViews>
    <sheetView view="pageBreakPreview" zoomScaleNormal="100" zoomScaleSheetLayoutView="100" workbookViewId="0">
      <pane xSplit="3" ySplit="2" topLeftCell="E30" activePane="bottomRight" state="frozen"/>
      <selection activeCell="N50" sqref="N50"/>
      <selection pane="topRight" activeCell="N50" sqref="N50"/>
      <selection pane="bottomLeft" activeCell="N50" sqref="N50"/>
      <selection pane="bottomRight" activeCell="N50" sqref="N50"/>
    </sheetView>
  </sheetViews>
  <sheetFormatPr defaultRowHeight="12.75" x14ac:dyDescent="0.2"/>
  <cols>
    <col min="1" max="1" width="6.42578125" customWidth="1"/>
    <col min="2" max="2" width="12.140625" customWidth="1"/>
    <col min="3" max="3" width="12.5703125" bestFit="1" customWidth="1"/>
    <col min="4" max="4" width="11.5703125" customWidth="1"/>
    <col min="5" max="5" width="11.28515625" customWidth="1"/>
    <col min="6" max="6" width="17" customWidth="1"/>
    <col min="7" max="7" width="9.28515625" customWidth="1"/>
    <col min="8" max="8" width="7.7109375" customWidth="1"/>
    <col min="9" max="9" width="7.5703125" customWidth="1"/>
    <col min="10" max="10" width="5.7109375" customWidth="1"/>
    <col min="11" max="11" width="12.7109375" customWidth="1"/>
    <col min="12" max="12" width="11.5703125" style="1" customWidth="1"/>
    <col min="13" max="13" width="11.28515625" style="2" customWidth="1"/>
    <col min="14" max="14" width="8.28515625" style="36" customWidth="1"/>
    <col min="15" max="15" width="12.85546875" style="245" customWidth="1"/>
    <col min="16" max="16" width="12.85546875" style="3" bestFit="1" customWidth="1"/>
  </cols>
  <sheetData>
    <row r="1" spans="1:17" x14ac:dyDescent="0.2">
      <c r="A1" s="698" t="s">
        <v>354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</row>
    <row r="2" spans="1:17" ht="78.75" x14ac:dyDescent="0.2">
      <c r="A2" s="26" t="s">
        <v>26</v>
      </c>
      <c r="B2" s="26" t="s">
        <v>27</v>
      </c>
      <c r="C2" s="26" t="s">
        <v>28</v>
      </c>
      <c r="D2" s="26" t="s">
        <v>29</v>
      </c>
      <c r="E2" s="26" t="s">
        <v>31</v>
      </c>
      <c r="F2" s="26" t="s">
        <v>32</v>
      </c>
      <c r="G2" s="27" t="s">
        <v>33</v>
      </c>
      <c r="H2" s="26" t="s">
        <v>119</v>
      </c>
      <c r="I2" s="27" t="s">
        <v>125</v>
      </c>
      <c r="J2" s="27" t="s">
        <v>238</v>
      </c>
      <c r="K2" s="27" t="s">
        <v>242</v>
      </c>
      <c r="L2" s="26" t="s">
        <v>35</v>
      </c>
      <c r="M2" s="27" t="s">
        <v>312</v>
      </c>
      <c r="N2" s="27" t="s">
        <v>179</v>
      </c>
      <c r="O2" s="27" t="s">
        <v>11</v>
      </c>
      <c r="P2" s="27" t="s">
        <v>181</v>
      </c>
      <c r="Q2" s="27"/>
    </row>
    <row r="3" spans="1:17" x14ac:dyDescent="0.2">
      <c r="A3" s="26"/>
      <c r="B3" s="30"/>
      <c r="C3" s="30"/>
      <c r="E3" s="31"/>
      <c r="F3" s="26" t="s">
        <v>36</v>
      </c>
      <c r="G3" s="32"/>
      <c r="H3" s="33"/>
      <c r="I3" s="34"/>
      <c r="J3" s="34"/>
      <c r="K3" s="34"/>
      <c r="L3" s="35"/>
      <c r="O3" s="158"/>
      <c r="P3" s="97"/>
    </row>
    <row r="4" spans="1:17" x14ac:dyDescent="0.2">
      <c r="A4" s="145">
        <v>1</v>
      </c>
      <c r="B4" s="146" t="s">
        <v>363</v>
      </c>
      <c r="C4" s="146" t="s">
        <v>64</v>
      </c>
      <c r="D4" s="31">
        <v>1101</v>
      </c>
      <c r="E4" s="145" t="s">
        <v>37</v>
      </c>
      <c r="F4" s="38" t="s">
        <v>364</v>
      </c>
      <c r="G4" s="32">
        <f>VLOOKUP(E4,[0]!tabella,2)</f>
        <v>0.70850000000000002</v>
      </c>
      <c r="H4" s="85">
        <f>16+31+30+31+31+30+31+30+31</f>
        <v>261</v>
      </c>
      <c r="I4" s="83">
        <f>IF((H4)&gt;60,ROUND(H4*G4,4))</f>
        <v>184.91849999999999</v>
      </c>
      <c r="J4" s="83">
        <v>1</v>
      </c>
      <c r="K4" s="83">
        <f>I4*J4</f>
        <v>184.91849999999999</v>
      </c>
      <c r="L4" s="40">
        <f t="shared" ref="L4:L35" si="0">ROUND($B$56*K4,2)</f>
        <v>510.17</v>
      </c>
      <c r="M4" s="252"/>
      <c r="N4" s="253">
        <f>ROUND(L4/H4*M4,2)</f>
        <v>0</v>
      </c>
      <c r="O4" s="455">
        <f t="shared" ref="O4:O22" si="1">L4-N4</f>
        <v>510.17</v>
      </c>
      <c r="P4" s="609">
        <f>O4</f>
        <v>510.17</v>
      </c>
      <c r="Q4" s="255"/>
    </row>
    <row r="5" spans="1:17" x14ac:dyDescent="0.2">
      <c r="A5" s="145">
        <v>2</v>
      </c>
      <c r="B5" s="146" t="s">
        <v>160</v>
      </c>
      <c r="C5" s="146" t="s">
        <v>161</v>
      </c>
      <c r="D5" s="31">
        <v>1101</v>
      </c>
      <c r="E5" s="145" t="s">
        <v>44</v>
      </c>
      <c r="F5" s="38"/>
      <c r="G5" s="32">
        <f>VLOOKUP(E5,[0]!tabella,2)</f>
        <v>0.79930000000000001</v>
      </c>
      <c r="H5" s="85">
        <v>365</v>
      </c>
      <c r="I5" s="83">
        <f>IF((H5)&gt;60,ROUND(H5*G5,4))</f>
        <v>291.74450000000002</v>
      </c>
      <c r="J5" s="83">
        <v>1</v>
      </c>
      <c r="K5" s="83">
        <f>I5*J5</f>
        <v>291.74450000000002</v>
      </c>
      <c r="L5" s="40">
        <f t="shared" si="0"/>
        <v>804.89</v>
      </c>
      <c r="M5" s="252">
        <v>5</v>
      </c>
      <c r="N5" s="253">
        <f>ROUND(L5/H5*M5,2)</f>
        <v>11.03</v>
      </c>
      <c r="O5" s="455">
        <f>L5-N5</f>
        <v>793.86</v>
      </c>
      <c r="P5" s="609">
        <f>O5</f>
        <v>793.86</v>
      </c>
      <c r="Q5" s="255"/>
    </row>
    <row r="6" spans="1:17" x14ac:dyDescent="0.2">
      <c r="A6" s="145">
        <v>3</v>
      </c>
      <c r="B6" s="30" t="s">
        <v>42</v>
      </c>
      <c r="C6" s="30" t="s">
        <v>43</v>
      </c>
      <c r="D6" s="31">
        <v>1102</v>
      </c>
      <c r="E6" s="31" t="s">
        <v>41</v>
      </c>
      <c r="F6" s="38"/>
      <c r="G6" s="32">
        <f>VLOOKUP(E6,[0]!tabella,2)</f>
        <v>0.749</v>
      </c>
      <c r="H6" s="85">
        <v>365</v>
      </c>
      <c r="I6" s="83">
        <f>IF(H6&gt;60,ROUND(H6*G6,4))</f>
        <v>273.38499999999999</v>
      </c>
      <c r="J6" s="83">
        <v>1</v>
      </c>
      <c r="K6" s="83">
        <f t="shared" ref="K6:K22" si="2">I6*J6</f>
        <v>273.38499999999999</v>
      </c>
      <c r="L6" s="40">
        <f t="shared" si="0"/>
        <v>754.24</v>
      </c>
      <c r="M6" s="256"/>
      <c r="N6" s="253">
        <f>ROUND(L6/H6*M6,2)</f>
        <v>0</v>
      </c>
      <c r="O6" s="455">
        <f t="shared" si="1"/>
        <v>754.24</v>
      </c>
      <c r="P6" s="609">
        <f>+O6</f>
        <v>754.24</v>
      </c>
      <c r="Q6" s="255"/>
    </row>
    <row r="7" spans="1:17" x14ac:dyDescent="0.2">
      <c r="A7" s="145">
        <v>4</v>
      </c>
      <c r="B7" s="30" t="s">
        <v>48</v>
      </c>
      <c r="C7" s="30" t="s">
        <v>49</v>
      </c>
      <c r="D7" s="31">
        <v>1102</v>
      </c>
      <c r="E7" s="31" t="s">
        <v>41</v>
      </c>
      <c r="F7" s="257">
        <v>0.5</v>
      </c>
      <c r="G7" s="32">
        <f>VLOOKUP(E7,[0]!tabella,2)</f>
        <v>0.749</v>
      </c>
      <c r="H7" s="85">
        <v>365</v>
      </c>
      <c r="I7" s="83">
        <f>IF((H8+H7)&gt;60,ROUND(H7*G7,4))</f>
        <v>273.38499999999999</v>
      </c>
      <c r="J7" s="83">
        <v>0.5</v>
      </c>
      <c r="K7" s="83">
        <f t="shared" si="2"/>
        <v>136.6925</v>
      </c>
      <c r="L7" s="40">
        <f t="shared" si="0"/>
        <v>377.12</v>
      </c>
      <c r="M7" s="256">
        <v>4</v>
      </c>
      <c r="N7" s="253">
        <f t="shared" ref="N7:N52" si="3">ROUND(L7/H7*M7,2)</f>
        <v>4.13</v>
      </c>
      <c r="O7" s="455">
        <f t="shared" si="1"/>
        <v>372.99</v>
      </c>
      <c r="P7" s="609"/>
      <c r="Q7" s="255"/>
    </row>
    <row r="8" spans="1:17" x14ac:dyDescent="0.2">
      <c r="A8" s="31"/>
      <c r="B8" s="30" t="s">
        <v>48</v>
      </c>
      <c r="C8" s="30" t="s">
        <v>49</v>
      </c>
      <c r="D8" s="31">
        <v>1101</v>
      </c>
      <c r="E8" s="31" t="s">
        <v>41</v>
      </c>
      <c r="F8" s="257">
        <v>0.5</v>
      </c>
      <c r="G8" s="32">
        <f>VLOOKUP(E8,[0]!tabella,2)</f>
        <v>0.749</v>
      </c>
      <c r="H8" s="85">
        <v>365</v>
      </c>
      <c r="I8" s="83">
        <f t="shared" ref="I8:I13" si="4">IF(H8&gt;60,ROUND(H8*G8,4))</f>
        <v>273.38499999999999</v>
      </c>
      <c r="J8" s="83">
        <v>0.5</v>
      </c>
      <c r="K8" s="83">
        <f t="shared" si="2"/>
        <v>136.6925</v>
      </c>
      <c r="L8" s="40">
        <f t="shared" si="0"/>
        <v>377.12</v>
      </c>
      <c r="M8" s="256">
        <v>4</v>
      </c>
      <c r="N8" s="253">
        <f t="shared" si="3"/>
        <v>4.13</v>
      </c>
      <c r="O8" s="455">
        <f t="shared" si="1"/>
        <v>372.99</v>
      </c>
      <c r="P8" s="609">
        <f>SUM(O7:O8)</f>
        <v>745.98</v>
      </c>
      <c r="Q8" s="255"/>
    </row>
    <row r="9" spans="1:17" x14ac:dyDescent="0.2">
      <c r="A9" s="31">
        <v>5</v>
      </c>
      <c r="B9" s="30" t="s">
        <v>57</v>
      </c>
      <c r="C9" s="30" t="s">
        <v>58</v>
      </c>
      <c r="D9" s="31">
        <v>1102</v>
      </c>
      <c r="E9" s="31" t="s">
        <v>41</v>
      </c>
      <c r="F9" s="38"/>
      <c r="G9" s="32">
        <f>VLOOKUP(E9,[0]!tabella,2)</f>
        <v>0.749</v>
      </c>
      <c r="H9" s="85">
        <v>365</v>
      </c>
      <c r="I9" s="83">
        <f t="shared" si="4"/>
        <v>273.38499999999999</v>
      </c>
      <c r="J9" s="83">
        <v>1</v>
      </c>
      <c r="K9" s="83">
        <f t="shared" si="2"/>
        <v>273.38499999999999</v>
      </c>
      <c r="L9" s="40">
        <f t="shared" si="0"/>
        <v>754.24</v>
      </c>
      <c r="M9" s="256">
        <v>9</v>
      </c>
      <c r="N9" s="253">
        <f t="shared" si="3"/>
        <v>18.600000000000001</v>
      </c>
      <c r="O9" s="455">
        <f t="shared" si="1"/>
        <v>735.64</v>
      </c>
      <c r="P9" s="609">
        <f>+O9</f>
        <v>735.64</v>
      </c>
      <c r="Q9" s="255"/>
    </row>
    <row r="10" spans="1:17" x14ac:dyDescent="0.2">
      <c r="A10" s="145">
        <v>6</v>
      </c>
      <c r="B10" s="146" t="s">
        <v>195</v>
      </c>
      <c r="C10" s="146" t="s">
        <v>196</v>
      </c>
      <c r="D10" s="145">
        <v>1101</v>
      </c>
      <c r="E10" s="145" t="s">
        <v>41</v>
      </c>
      <c r="F10" s="38"/>
      <c r="G10" s="32">
        <f>VLOOKUP(E10,[0]!tabella,2)</f>
        <v>0.749</v>
      </c>
      <c r="H10" s="85">
        <v>365</v>
      </c>
      <c r="I10" s="83">
        <f t="shared" si="4"/>
        <v>273.38499999999999</v>
      </c>
      <c r="J10" s="83">
        <v>1</v>
      </c>
      <c r="K10" s="83">
        <f t="shared" si="2"/>
        <v>273.38499999999999</v>
      </c>
      <c r="L10" s="40">
        <f t="shared" si="0"/>
        <v>754.24</v>
      </c>
      <c r="M10" s="256">
        <v>8</v>
      </c>
      <c r="N10" s="253">
        <f t="shared" si="3"/>
        <v>16.53</v>
      </c>
      <c r="O10" s="455">
        <f t="shared" si="1"/>
        <v>737.71</v>
      </c>
      <c r="P10" s="609">
        <f>+O10</f>
        <v>737.71</v>
      </c>
      <c r="Q10" s="255"/>
    </row>
    <row r="11" spans="1:17" x14ac:dyDescent="0.2">
      <c r="A11" s="31">
        <v>7</v>
      </c>
      <c r="B11" s="146" t="s">
        <v>60</v>
      </c>
      <c r="C11" s="146" t="s">
        <v>61</v>
      </c>
      <c r="D11" s="31">
        <v>1101</v>
      </c>
      <c r="E11" s="31" t="s">
        <v>44</v>
      </c>
      <c r="F11" s="38"/>
      <c r="G11" s="32">
        <f>VLOOKUP(E11,[0]!tabella,2)</f>
        <v>0.79930000000000001</v>
      </c>
      <c r="H11" s="85">
        <v>365</v>
      </c>
      <c r="I11" s="83">
        <f>IF(H11&gt;60,ROUND(H11*G11,4))</f>
        <v>291.74450000000002</v>
      </c>
      <c r="J11" s="83">
        <v>1</v>
      </c>
      <c r="K11" s="83">
        <f>I11*J11</f>
        <v>291.74450000000002</v>
      </c>
      <c r="L11" s="40">
        <f t="shared" si="0"/>
        <v>804.89</v>
      </c>
      <c r="M11" s="40">
        <v>2</v>
      </c>
      <c r="N11" s="253">
        <f t="shared" si="3"/>
        <v>4.41</v>
      </c>
      <c r="O11" s="455">
        <f t="shared" si="1"/>
        <v>800.48</v>
      </c>
      <c r="P11" s="609">
        <f>+O11</f>
        <v>800.48</v>
      </c>
      <c r="Q11" s="255"/>
    </row>
    <row r="12" spans="1:17" x14ac:dyDescent="0.2">
      <c r="A12" s="145">
        <v>8</v>
      </c>
      <c r="B12" s="30" t="s">
        <v>45</v>
      </c>
      <c r="C12" s="30" t="s">
        <v>46</v>
      </c>
      <c r="D12" s="31">
        <v>1102</v>
      </c>
      <c r="E12" s="31" t="s">
        <v>44</v>
      </c>
      <c r="F12" s="38"/>
      <c r="G12" s="32">
        <f>VLOOKUP(E12,[0]!tabella,2)</f>
        <v>0.79930000000000001</v>
      </c>
      <c r="H12" s="85">
        <v>365</v>
      </c>
      <c r="I12" s="83">
        <f t="shared" si="4"/>
        <v>291.74450000000002</v>
      </c>
      <c r="J12" s="83">
        <v>1</v>
      </c>
      <c r="K12" s="83">
        <f t="shared" si="2"/>
        <v>291.74450000000002</v>
      </c>
      <c r="L12" s="40">
        <f t="shared" si="0"/>
        <v>804.89</v>
      </c>
      <c r="M12" s="256"/>
      <c r="N12" s="253">
        <f t="shared" si="3"/>
        <v>0</v>
      </c>
      <c r="O12" s="455">
        <f t="shared" si="1"/>
        <v>804.89</v>
      </c>
      <c r="P12" s="609">
        <f>+O12</f>
        <v>804.89</v>
      </c>
      <c r="Q12" s="255"/>
    </row>
    <row r="13" spans="1:17" x14ac:dyDescent="0.2">
      <c r="A13" s="31">
        <v>9</v>
      </c>
      <c r="B13" s="146" t="s">
        <v>200</v>
      </c>
      <c r="C13" s="146" t="s">
        <v>197</v>
      </c>
      <c r="D13" s="31">
        <v>1101</v>
      </c>
      <c r="E13" s="145" t="s">
        <v>44</v>
      </c>
      <c r="F13" s="38"/>
      <c r="G13" s="32">
        <f>VLOOKUP(E13,[0]!tabella,2)</f>
        <v>0.79930000000000001</v>
      </c>
      <c r="H13" s="361">
        <v>365</v>
      </c>
      <c r="I13" s="83">
        <f t="shared" si="4"/>
        <v>291.74450000000002</v>
      </c>
      <c r="J13" s="83">
        <v>1</v>
      </c>
      <c r="K13" s="83">
        <f t="shared" si="2"/>
        <v>291.74450000000002</v>
      </c>
      <c r="L13" s="40">
        <f t="shared" si="0"/>
        <v>804.89</v>
      </c>
      <c r="M13" s="256"/>
      <c r="N13" s="253">
        <f t="shared" si="3"/>
        <v>0</v>
      </c>
      <c r="O13" s="455">
        <f t="shared" si="1"/>
        <v>804.89</v>
      </c>
      <c r="P13" s="609">
        <f>+O13</f>
        <v>804.89</v>
      </c>
      <c r="Q13" s="255"/>
    </row>
    <row r="14" spans="1:17" x14ac:dyDescent="0.2">
      <c r="A14" s="31">
        <v>10</v>
      </c>
      <c r="B14" s="30" t="s">
        <v>75</v>
      </c>
      <c r="C14" s="30" t="s">
        <v>76</v>
      </c>
      <c r="D14" s="31">
        <v>1101</v>
      </c>
      <c r="E14" s="31" t="s">
        <v>47</v>
      </c>
      <c r="F14" s="38" t="s">
        <v>356</v>
      </c>
      <c r="G14" s="32">
        <f>VLOOKUP(E14,[0]!tabella,2)</f>
        <v>0.86970000000000003</v>
      </c>
      <c r="H14" s="85">
        <f>31+28+31+30+31+30+31+31+30+31+3</f>
        <v>307</v>
      </c>
      <c r="I14" s="83">
        <f>IF(H14&gt;60,ROUND(H14*G14,4))</f>
        <v>266.99790000000002</v>
      </c>
      <c r="J14" s="83">
        <v>0.5</v>
      </c>
      <c r="K14" s="83">
        <f>I14*J14</f>
        <v>133.49895000000001</v>
      </c>
      <c r="L14" s="40">
        <f t="shared" si="0"/>
        <v>368.31</v>
      </c>
      <c r="M14" s="256"/>
      <c r="N14" s="253">
        <f>ROUND(L14/H14*M14,2)</f>
        <v>0</v>
      </c>
      <c r="O14" s="455">
        <f>L14-N14</f>
        <v>368.31</v>
      </c>
      <c r="P14" s="609"/>
    </row>
    <row r="15" spans="1:17" x14ac:dyDescent="0.2">
      <c r="A15" s="31"/>
      <c r="B15" s="30" t="s">
        <v>75</v>
      </c>
      <c r="C15" s="30" t="s">
        <v>76</v>
      </c>
      <c r="D15" s="31">
        <v>1102</v>
      </c>
      <c r="E15" s="31" t="s">
        <v>47</v>
      </c>
      <c r="F15" s="38" t="s">
        <v>356</v>
      </c>
      <c r="G15" s="32">
        <f>VLOOKUP(E15,[0]!tabella,2)</f>
        <v>0.86970000000000003</v>
      </c>
      <c r="H15" s="85">
        <v>307</v>
      </c>
      <c r="I15" s="83">
        <f>IF(H15&gt;60,ROUND(H15*G15,4))</f>
        <v>266.99790000000002</v>
      </c>
      <c r="J15" s="83">
        <v>0.5</v>
      </c>
      <c r="K15" s="83">
        <f>I15*J15</f>
        <v>133.49895000000001</v>
      </c>
      <c r="L15" s="40">
        <f t="shared" si="0"/>
        <v>368.31</v>
      </c>
      <c r="M15" s="256"/>
      <c r="N15" s="253">
        <f>ROUND(L15/H15*M15,2)</f>
        <v>0</v>
      </c>
      <c r="O15" s="455">
        <f>L15-N15</f>
        <v>368.31</v>
      </c>
      <c r="P15" s="609">
        <f>SUM(O14:O15)</f>
        <v>736.62</v>
      </c>
    </row>
    <row r="16" spans="1:17" s="632" customFormat="1" ht="18.75" x14ac:dyDescent="0.2">
      <c r="A16" s="145">
        <v>11</v>
      </c>
      <c r="B16" s="146" t="s">
        <v>69</v>
      </c>
      <c r="C16" s="146" t="s">
        <v>70</v>
      </c>
      <c r="D16" s="145">
        <v>1101</v>
      </c>
      <c r="E16" s="145" t="s">
        <v>44</v>
      </c>
      <c r="F16" s="144" t="s">
        <v>389</v>
      </c>
      <c r="G16" s="387">
        <f>VLOOKUP(E16,[0]!tabella,2)</f>
        <v>0.79930000000000001</v>
      </c>
      <c r="H16" s="361">
        <f>365-31</f>
        <v>334</v>
      </c>
      <c r="I16" s="143">
        <f>IF(+H16&gt;60,ROUND(H16*G16,4))</f>
        <v>266.96620000000001</v>
      </c>
      <c r="J16" s="143">
        <f>0.7222/2</f>
        <v>0.36109999999999998</v>
      </c>
      <c r="K16" s="143">
        <f t="shared" si="2"/>
        <v>96.401494819999996</v>
      </c>
      <c r="L16" s="40">
        <f t="shared" si="0"/>
        <v>265.95999999999998</v>
      </c>
      <c r="M16" s="648">
        <v>7</v>
      </c>
      <c r="N16" s="649">
        <v>0</v>
      </c>
      <c r="O16" s="650">
        <f t="shared" si="1"/>
        <v>265.95999999999998</v>
      </c>
      <c r="P16" s="650"/>
    </row>
    <row r="17" spans="1:16" s="632" customFormat="1" ht="18.75" x14ac:dyDescent="0.2">
      <c r="A17" s="145"/>
      <c r="B17" s="146" t="s">
        <v>69</v>
      </c>
      <c r="C17" s="146" t="s">
        <v>70</v>
      </c>
      <c r="D17" s="145">
        <v>1102</v>
      </c>
      <c r="E17" s="145" t="s">
        <v>44</v>
      </c>
      <c r="F17" s="144" t="s">
        <v>389</v>
      </c>
      <c r="G17" s="387">
        <f>VLOOKUP(E17,[0]!tabella,2)</f>
        <v>0.79930000000000001</v>
      </c>
      <c r="H17" s="361">
        <v>334</v>
      </c>
      <c r="I17" s="143">
        <f>IF(+H17&gt;60,ROUND(H17*G17,4))</f>
        <v>266.96620000000001</v>
      </c>
      <c r="J17" s="143">
        <f>0.7222/2</f>
        <v>0.36109999999999998</v>
      </c>
      <c r="K17" s="143">
        <f t="shared" si="2"/>
        <v>96.401494819999996</v>
      </c>
      <c r="L17" s="40">
        <f t="shared" si="0"/>
        <v>265.95999999999998</v>
      </c>
      <c r="M17" s="648">
        <v>7</v>
      </c>
      <c r="N17" s="649">
        <v>0</v>
      </c>
      <c r="O17" s="650">
        <f t="shared" si="1"/>
        <v>265.95999999999998</v>
      </c>
      <c r="P17" s="609">
        <f>SUM(O16:O17)</f>
        <v>531.91999999999996</v>
      </c>
    </row>
    <row r="18" spans="1:16" x14ac:dyDescent="0.2">
      <c r="A18" s="31">
        <v>12</v>
      </c>
      <c r="B18" s="30" t="s">
        <v>55</v>
      </c>
      <c r="C18" s="30" t="s">
        <v>56</v>
      </c>
      <c r="D18" s="31">
        <v>1101</v>
      </c>
      <c r="E18" s="31" t="s">
        <v>44</v>
      </c>
      <c r="F18" s="38" t="s">
        <v>277</v>
      </c>
      <c r="G18" s="32">
        <f>VLOOKUP(E18,[0]!tabella,2)</f>
        <v>0.79930000000000001</v>
      </c>
      <c r="H18" s="85">
        <v>365</v>
      </c>
      <c r="I18" s="83">
        <f>IF(+H18&gt;60,ROUND(H18*G18,4))</f>
        <v>291.74450000000002</v>
      </c>
      <c r="J18" s="83">
        <v>0.72219999999999995</v>
      </c>
      <c r="K18" s="83">
        <f t="shared" si="2"/>
        <v>210.69787790000001</v>
      </c>
      <c r="L18" s="40">
        <f t="shared" si="0"/>
        <v>581.29</v>
      </c>
      <c r="M18" s="256">
        <v>3</v>
      </c>
      <c r="N18" s="253">
        <f t="shared" si="3"/>
        <v>4.78</v>
      </c>
      <c r="O18" s="455">
        <f t="shared" si="1"/>
        <v>576.51</v>
      </c>
      <c r="P18" s="609">
        <f>SUM(O18)</f>
        <v>576.51</v>
      </c>
    </row>
    <row r="19" spans="1:16" x14ac:dyDescent="0.2">
      <c r="A19" s="31">
        <v>13</v>
      </c>
      <c r="B19" s="30" t="s">
        <v>77</v>
      </c>
      <c r="C19" s="30" t="s">
        <v>78</v>
      </c>
      <c r="D19" s="31">
        <v>1101</v>
      </c>
      <c r="E19" s="31" t="s">
        <v>44</v>
      </c>
      <c r="F19" s="38"/>
      <c r="G19" s="32">
        <f>VLOOKUP(E19,[0]!tabella,2)</f>
        <v>0.79930000000000001</v>
      </c>
      <c r="H19" s="85">
        <v>365</v>
      </c>
      <c r="I19" s="83">
        <f>IF(+H19&gt;60,ROUND(H19*G19,4))</f>
        <v>291.74450000000002</v>
      </c>
      <c r="J19" s="83">
        <v>1</v>
      </c>
      <c r="K19" s="83">
        <f t="shared" si="2"/>
        <v>291.74450000000002</v>
      </c>
      <c r="L19" s="40">
        <f t="shared" si="0"/>
        <v>804.89</v>
      </c>
      <c r="M19" s="256"/>
      <c r="N19" s="253">
        <f t="shared" si="3"/>
        <v>0</v>
      </c>
      <c r="O19" s="455">
        <f t="shared" si="1"/>
        <v>804.89</v>
      </c>
      <c r="P19" s="609">
        <f>SUM(O19)</f>
        <v>804.89</v>
      </c>
    </row>
    <row r="20" spans="1:16" s="21" customFormat="1" x14ac:dyDescent="0.2">
      <c r="A20" s="31">
        <v>14</v>
      </c>
      <c r="B20" s="146" t="s">
        <v>81</v>
      </c>
      <c r="C20" s="146" t="s">
        <v>80</v>
      </c>
      <c r="D20" s="145">
        <v>1101</v>
      </c>
      <c r="E20" s="145" t="s">
        <v>44</v>
      </c>
      <c r="F20" s="144"/>
      <c r="G20" s="387">
        <f>VLOOKUP(E20,[0]!tabella,2)</f>
        <v>0.79930000000000001</v>
      </c>
      <c r="H20" s="361">
        <v>365</v>
      </c>
      <c r="I20" s="143">
        <f t="shared" ref="I20:I22" si="5">IF(H20&gt;60,ROUND(H20*G20,4))</f>
        <v>291.74450000000002</v>
      </c>
      <c r="J20" s="143">
        <v>1</v>
      </c>
      <c r="K20" s="143">
        <f t="shared" si="2"/>
        <v>291.74450000000002</v>
      </c>
      <c r="L20" s="40">
        <f t="shared" si="0"/>
        <v>804.89</v>
      </c>
      <c r="M20" s="262">
        <v>2</v>
      </c>
      <c r="N20" s="253">
        <f t="shared" si="3"/>
        <v>4.41</v>
      </c>
      <c r="O20" s="455">
        <f t="shared" si="1"/>
        <v>800.48</v>
      </c>
      <c r="P20" s="609">
        <f>+O20</f>
        <v>800.48</v>
      </c>
    </row>
    <row r="21" spans="1:16" x14ac:dyDescent="0.2">
      <c r="A21" s="31">
        <v>15</v>
      </c>
      <c r="B21" s="30" t="s">
        <v>79</v>
      </c>
      <c r="C21" s="30" t="s">
        <v>80</v>
      </c>
      <c r="D21" s="31">
        <v>1102</v>
      </c>
      <c r="E21" s="31" t="s">
        <v>44</v>
      </c>
      <c r="F21" s="38"/>
      <c r="G21" s="32">
        <f>VLOOKUP(E21,[0]!tabella,2)</f>
        <v>0.79930000000000001</v>
      </c>
      <c r="H21" s="85">
        <v>365</v>
      </c>
      <c r="I21" s="83">
        <f t="shared" si="5"/>
        <v>291.74450000000002</v>
      </c>
      <c r="J21" s="83">
        <v>1</v>
      </c>
      <c r="K21" s="83">
        <f t="shared" si="2"/>
        <v>291.74450000000002</v>
      </c>
      <c r="L21" s="40">
        <f t="shared" si="0"/>
        <v>804.89</v>
      </c>
      <c r="M21" s="256">
        <v>10</v>
      </c>
      <c r="N21" s="253">
        <f t="shared" si="3"/>
        <v>22.05</v>
      </c>
      <c r="O21" s="455">
        <f t="shared" si="1"/>
        <v>782.84</v>
      </c>
      <c r="P21" s="609">
        <f>+O21</f>
        <v>782.84</v>
      </c>
    </row>
    <row r="22" spans="1:16" x14ac:dyDescent="0.2">
      <c r="A22" s="31">
        <v>16</v>
      </c>
      <c r="B22" s="146" t="s">
        <v>162</v>
      </c>
      <c r="C22" s="146" t="s">
        <v>163</v>
      </c>
      <c r="D22" s="145">
        <v>1101</v>
      </c>
      <c r="E22" s="145" t="s">
        <v>44</v>
      </c>
      <c r="F22" s="38"/>
      <c r="G22" s="32">
        <f>VLOOKUP(E22,[0]!tabella,2)</f>
        <v>0.79930000000000001</v>
      </c>
      <c r="H22" s="85">
        <v>365</v>
      </c>
      <c r="I22" s="83">
        <f t="shared" si="5"/>
        <v>291.74450000000002</v>
      </c>
      <c r="J22" s="83">
        <v>1</v>
      </c>
      <c r="K22" s="83">
        <f t="shared" si="2"/>
        <v>291.74450000000002</v>
      </c>
      <c r="L22" s="40">
        <f t="shared" si="0"/>
        <v>804.89</v>
      </c>
      <c r="M22" s="256">
        <v>10</v>
      </c>
      <c r="N22" s="253">
        <f t="shared" si="3"/>
        <v>22.05</v>
      </c>
      <c r="O22" s="455">
        <f t="shared" si="1"/>
        <v>782.84</v>
      </c>
      <c r="P22" s="609">
        <f t="shared" ref="P22:P49" si="6">+O22</f>
        <v>782.84</v>
      </c>
    </row>
    <row r="23" spans="1:16" x14ac:dyDescent="0.2">
      <c r="A23" s="31">
        <v>17</v>
      </c>
      <c r="B23" s="146" t="s">
        <v>298</v>
      </c>
      <c r="C23" s="146" t="s">
        <v>295</v>
      </c>
      <c r="D23" s="31">
        <v>1101</v>
      </c>
      <c r="E23" s="145" t="s">
        <v>44</v>
      </c>
      <c r="F23" s="257" t="s">
        <v>310</v>
      </c>
      <c r="G23" s="32">
        <f>VLOOKUP(E23,[0]!tabella,2)</f>
        <v>0.79930000000000001</v>
      </c>
      <c r="H23" s="85">
        <v>365</v>
      </c>
      <c r="I23" s="83">
        <f>IF(H23&gt;60,ROUND(H23*G23,4))</f>
        <v>291.74450000000002</v>
      </c>
      <c r="J23" s="83">
        <v>0.5</v>
      </c>
      <c r="K23" s="83">
        <f t="shared" ref="K23:K52" si="7">I23*J23</f>
        <v>145.87225000000001</v>
      </c>
      <c r="L23" s="40">
        <f t="shared" si="0"/>
        <v>402.45</v>
      </c>
      <c r="M23" s="256"/>
      <c r="N23" s="253">
        <f t="shared" si="3"/>
        <v>0</v>
      </c>
      <c r="O23" s="455">
        <f t="shared" ref="O23:O52" si="8">L23-N23</f>
        <v>402.45</v>
      </c>
      <c r="P23" s="609">
        <f t="shared" si="6"/>
        <v>402.45</v>
      </c>
    </row>
    <row r="24" spans="1:16" x14ac:dyDescent="0.2">
      <c r="A24" s="31">
        <v>18</v>
      </c>
      <c r="B24" s="146" t="s">
        <v>247</v>
      </c>
      <c r="C24" s="146" t="s">
        <v>218</v>
      </c>
      <c r="D24" s="31">
        <v>1101</v>
      </c>
      <c r="E24" s="145" t="s">
        <v>44</v>
      </c>
      <c r="F24" s="38"/>
      <c r="G24" s="32">
        <f>VLOOKUP(E24,[0]!tabella,2)</f>
        <v>0.79930000000000001</v>
      </c>
      <c r="H24" s="85">
        <v>365</v>
      </c>
      <c r="I24" s="83">
        <f t="shared" ref="I24:I43" si="9">IF(H24&gt;60,ROUND(H24*G24,4))</f>
        <v>291.74450000000002</v>
      </c>
      <c r="J24" s="83">
        <v>1</v>
      </c>
      <c r="K24" s="83">
        <f t="shared" si="7"/>
        <v>291.74450000000002</v>
      </c>
      <c r="L24" s="40">
        <f t="shared" si="0"/>
        <v>804.89</v>
      </c>
      <c r="M24" s="388">
        <v>14</v>
      </c>
      <c r="N24" s="253">
        <f t="shared" si="3"/>
        <v>30.87</v>
      </c>
      <c r="O24" s="455">
        <f t="shared" si="8"/>
        <v>774.02</v>
      </c>
      <c r="P24" s="609">
        <f t="shared" si="6"/>
        <v>774.02</v>
      </c>
    </row>
    <row r="25" spans="1:16" x14ac:dyDescent="0.2">
      <c r="A25" s="31">
        <v>19</v>
      </c>
      <c r="B25" s="146" t="s">
        <v>156</v>
      </c>
      <c r="C25" s="146" t="s">
        <v>138</v>
      </c>
      <c r="D25" s="31">
        <v>1101</v>
      </c>
      <c r="E25" s="145" t="s">
        <v>44</v>
      </c>
      <c r="F25" s="38"/>
      <c r="G25" s="32">
        <f>VLOOKUP(E25,[0]!tabella,2)</f>
        <v>0.79930000000000001</v>
      </c>
      <c r="H25" s="85">
        <v>364</v>
      </c>
      <c r="I25" s="83">
        <f t="shared" ref="I25:I35" si="10">IF(H25&gt;60,ROUND(H25*G25,4))</f>
        <v>290.9452</v>
      </c>
      <c r="J25" s="83">
        <v>1</v>
      </c>
      <c r="K25" s="83">
        <f t="shared" ref="K25:K35" si="11">I25*J25</f>
        <v>290.9452</v>
      </c>
      <c r="L25" s="40">
        <f t="shared" si="0"/>
        <v>802.69</v>
      </c>
      <c r="M25" s="252">
        <v>2</v>
      </c>
      <c r="N25" s="253">
        <f t="shared" si="3"/>
        <v>4.41</v>
      </c>
      <c r="O25" s="455">
        <f t="shared" ref="O25:O35" si="12">L25-N25</f>
        <v>798.28000000000009</v>
      </c>
      <c r="P25" s="609">
        <f t="shared" si="6"/>
        <v>798.28000000000009</v>
      </c>
    </row>
    <row r="26" spans="1:16" x14ac:dyDescent="0.2">
      <c r="A26" s="31">
        <v>20</v>
      </c>
      <c r="B26" s="146" t="s">
        <v>217</v>
      </c>
      <c r="C26" s="146" t="s">
        <v>218</v>
      </c>
      <c r="D26" s="31">
        <v>1101</v>
      </c>
      <c r="E26" s="145" t="s">
        <v>44</v>
      </c>
      <c r="F26" s="38" t="s">
        <v>302</v>
      </c>
      <c r="G26" s="32">
        <f>VLOOKUP(E26,[0]!tabella,2)</f>
        <v>0.79930000000000001</v>
      </c>
      <c r="H26" s="85">
        <v>365</v>
      </c>
      <c r="I26" s="83">
        <f t="shared" si="10"/>
        <v>291.74450000000002</v>
      </c>
      <c r="J26" s="83">
        <v>0.5</v>
      </c>
      <c r="K26" s="83">
        <f t="shared" si="11"/>
        <v>145.87225000000001</v>
      </c>
      <c r="L26" s="40">
        <f t="shared" si="0"/>
        <v>402.45</v>
      </c>
      <c r="M26" s="252"/>
      <c r="N26" s="253">
        <f t="shared" si="3"/>
        <v>0</v>
      </c>
      <c r="O26" s="455">
        <f t="shared" si="12"/>
        <v>402.45</v>
      </c>
      <c r="P26" s="609">
        <f t="shared" ref="P26:P35" si="13">+O26</f>
        <v>402.45</v>
      </c>
    </row>
    <row r="27" spans="1:16" x14ac:dyDescent="0.2">
      <c r="A27" s="31">
        <v>21</v>
      </c>
      <c r="B27" s="146" t="s">
        <v>335</v>
      </c>
      <c r="C27" s="146" t="s">
        <v>338</v>
      </c>
      <c r="D27" s="31">
        <v>1101</v>
      </c>
      <c r="E27" s="145" t="s">
        <v>44</v>
      </c>
      <c r="F27" s="38"/>
      <c r="G27" s="32">
        <f>VLOOKUP(E27,[0]!tabella,2)</f>
        <v>0.79930000000000001</v>
      </c>
      <c r="H27" s="85">
        <v>365</v>
      </c>
      <c r="I27" s="83">
        <f t="shared" si="10"/>
        <v>291.74450000000002</v>
      </c>
      <c r="J27" s="83">
        <v>1</v>
      </c>
      <c r="K27" s="83">
        <f t="shared" si="11"/>
        <v>291.74450000000002</v>
      </c>
      <c r="L27" s="40">
        <f t="shared" si="0"/>
        <v>804.89</v>
      </c>
      <c r="M27" s="252"/>
      <c r="N27" s="253">
        <f t="shared" ref="N27:N32" si="14">ROUND(L27/H27*M27,2)</f>
        <v>0</v>
      </c>
      <c r="O27" s="455">
        <f t="shared" si="12"/>
        <v>804.89</v>
      </c>
      <c r="P27" s="609">
        <f t="shared" si="13"/>
        <v>804.89</v>
      </c>
    </row>
    <row r="28" spans="1:16" x14ac:dyDescent="0.2">
      <c r="A28" s="31">
        <v>22</v>
      </c>
      <c r="B28" s="146" t="s">
        <v>336</v>
      </c>
      <c r="C28" s="146" t="s">
        <v>339</v>
      </c>
      <c r="D28" s="31">
        <v>1101</v>
      </c>
      <c r="E28" s="145" t="s">
        <v>44</v>
      </c>
      <c r="F28" s="38" t="s">
        <v>362</v>
      </c>
      <c r="G28" s="32">
        <f>VLOOKUP(E28,[0]!tabella,2)</f>
        <v>0.79930000000000001</v>
      </c>
      <c r="H28" s="85">
        <f>31+28+31+30+31+30+31+31+30+15</f>
        <v>288</v>
      </c>
      <c r="I28" s="83">
        <f t="shared" si="10"/>
        <v>230.19839999999999</v>
      </c>
      <c r="J28" s="83">
        <v>1</v>
      </c>
      <c r="K28" s="83">
        <f t="shared" si="11"/>
        <v>230.19839999999999</v>
      </c>
      <c r="L28" s="40">
        <f t="shared" si="0"/>
        <v>635.09</v>
      </c>
      <c r="M28" s="252"/>
      <c r="N28" s="253">
        <f t="shared" si="14"/>
        <v>0</v>
      </c>
      <c r="O28" s="455">
        <f t="shared" si="12"/>
        <v>635.09</v>
      </c>
      <c r="P28" s="609">
        <f t="shared" si="13"/>
        <v>635.09</v>
      </c>
    </row>
    <row r="29" spans="1:16" x14ac:dyDescent="0.2">
      <c r="A29" s="31">
        <v>23</v>
      </c>
      <c r="B29" s="146" t="s">
        <v>337</v>
      </c>
      <c r="C29" s="146" t="s">
        <v>304</v>
      </c>
      <c r="D29" s="31">
        <v>1101</v>
      </c>
      <c r="E29" s="145" t="s">
        <v>44</v>
      </c>
      <c r="F29" s="144"/>
      <c r="G29" s="32">
        <f>VLOOKUP(E29,[0]!tabella,2)</f>
        <v>0.79930000000000001</v>
      </c>
      <c r="H29" s="85">
        <v>365</v>
      </c>
      <c r="I29" s="83">
        <f t="shared" si="10"/>
        <v>291.74450000000002</v>
      </c>
      <c r="J29" s="83">
        <v>1</v>
      </c>
      <c r="K29" s="83">
        <f t="shared" si="11"/>
        <v>291.74450000000002</v>
      </c>
      <c r="L29" s="40">
        <f t="shared" si="0"/>
        <v>804.89</v>
      </c>
      <c r="M29" s="252">
        <v>1</v>
      </c>
      <c r="N29" s="253">
        <f t="shared" si="14"/>
        <v>2.21</v>
      </c>
      <c r="O29" s="455">
        <f t="shared" si="12"/>
        <v>802.68</v>
      </c>
      <c r="P29" s="609">
        <f t="shared" si="13"/>
        <v>802.68</v>
      </c>
    </row>
    <row r="30" spans="1:16" x14ac:dyDescent="0.2">
      <c r="A30" s="31">
        <v>24</v>
      </c>
      <c r="B30" s="146" t="s">
        <v>342</v>
      </c>
      <c r="C30" s="146" t="s">
        <v>341</v>
      </c>
      <c r="D30" s="31">
        <v>1101</v>
      </c>
      <c r="E30" s="145" t="s">
        <v>44</v>
      </c>
      <c r="F30" s="38"/>
      <c r="G30" s="32">
        <f>VLOOKUP(E30,[0]!tabella,2)</f>
        <v>0.79930000000000001</v>
      </c>
      <c r="H30" s="85">
        <v>365</v>
      </c>
      <c r="I30" s="83">
        <f t="shared" si="10"/>
        <v>291.74450000000002</v>
      </c>
      <c r="J30" s="83">
        <v>1</v>
      </c>
      <c r="K30" s="83">
        <f t="shared" si="11"/>
        <v>291.74450000000002</v>
      </c>
      <c r="L30" s="40">
        <f t="shared" si="0"/>
        <v>804.89</v>
      </c>
      <c r="M30" s="252">
        <v>5</v>
      </c>
      <c r="N30" s="253">
        <f t="shared" si="14"/>
        <v>11.03</v>
      </c>
      <c r="O30" s="455">
        <f t="shared" si="12"/>
        <v>793.86</v>
      </c>
      <c r="P30" s="609">
        <f t="shared" si="13"/>
        <v>793.86</v>
      </c>
    </row>
    <row r="31" spans="1:16" x14ac:dyDescent="0.2">
      <c r="A31" s="31">
        <v>25</v>
      </c>
      <c r="B31" s="146" t="s">
        <v>365</v>
      </c>
      <c r="C31" s="146" t="s">
        <v>366</v>
      </c>
      <c r="D31" s="31">
        <v>1102</v>
      </c>
      <c r="E31" s="145" t="s">
        <v>44</v>
      </c>
      <c r="F31" s="38" t="s">
        <v>367</v>
      </c>
      <c r="G31" s="32">
        <f>VLOOKUP(E31,[0]!tabella,2)</f>
        <v>0.79930000000000001</v>
      </c>
      <c r="H31" s="85">
        <f>28+31+31+30+31+30+31</f>
        <v>212</v>
      </c>
      <c r="I31" s="83">
        <f t="shared" si="10"/>
        <v>169.45160000000001</v>
      </c>
      <c r="J31" s="83">
        <v>1</v>
      </c>
      <c r="K31" s="83">
        <f t="shared" si="11"/>
        <v>169.45160000000001</v>
      </c>
      <c r="L31" s="40">
        <f t="shared" si="0"/>
        <v>467.5</v>
      </c>
      <c r="M31" s="252"/>
      <c r="N31" s="253">
        <f t="shared" si="14"/>
        <v>0</v>
      </c>
      <c r="O31" s="455">
        <f t="shared" si="12"/>
        <v>467.5</v>
      </c>
      <c r="P31" s="609">
        <f t="shared" si="13"/>
        <v>467.5</v>
      </c>
    </row>
    <row r="32" spans="1:16" s="189" customFormat="1" x14ac:dyDescent="0.2">
      <c r="A32" s="31">
        <v>26</v>
      </c>
      <c r="B32" s="468" t="s">
        <v>368</v>
      </c>
      <c r="C32" s="468" t="s">
        <v>369</v>
      </c>
      <c r="D32" s="467">
        <v>1101</v>
      </c>
      <c r="E32" s="467" t="s">
        <v>44</v>
      </c>
      <c r="F32" s="506" t="s">
        <v>370</v>
      </c>
      <c r="G32" s="507">
        <f>VLOOKUP(E32,[0]!tabella,2)</f>
        <v>0.79930000000000001</v>
      </c>
      <c r="H32" s="508">
        <f>13+31</f>
        <v>44</v>
      </c>
      <c r="I32" s="471" t="b">
        <f t="shared" si="10"/>
        <v>0</v>
      </c>
      <c r="J32" s="471">
        <v>1</v>
      </c>
      <c r="K32" s="471">
        <f t="shared" si="11"/>
        <v>0</v>
      </c>
      <c r="L32" s="518">
        <f t="shared" si="0"/>
        <v>0</v>
      </c>
      <c r="M32" s="509"/>
      <c r="N32" s="510">
        <f t="shared" si="14"/>
        <v>0</v>
      </c>
      <c r="O32" s="455">
        <f t="shared" si="12"/>
        <v>0</v>
      </c>
      <c r="P32" s="609">
        <f t="shared" si="13"/>
        <v>0</v>
      </c>
    </row>
    <row r="33" spans="1:16" s="189" customFormat="1" x14ac:dyDescent="0.2">
      <c r="A33" s="31">
        <v>27</v>
      </c>
      <c r="B33" s="468" t="s">
        <v>371</v>
      </c>
      <c r="C33" s="468" t="s">
        <v>372</v>
      </c>
      <c r="D33" s="467">
        <v>1101</v>
      </c>
      <c r="E33" s="467" t="s">
        <v>44</v>
      </c>
      <c r="F33" s="506" t="s">
        <v>376</v>
      </c>
      <c r="G33" s="507">
        <f>VLOOKUP(E33,[0]!tabella,2)</f>
        <v>0.79930000000000001</v>
      </c>
      <c r="H33" s="508">
        <v>16</v>
      </c>
      <c r="I33" s="471" t="b">
        <f t="shared" si="10"/>
        <v>0</v>
      </c>
      <c r="J33" s="471">
        <v>1</v>
      </c>
      <c r="K33" s="471">
        <f t="shared" si="11"/>
        <v>0</v>
      </c>
      <c r="L33" s="518">
        <f t="shared" si="0"/>
        <v>0</v>
      </c>
      <c r="M33" s="509"/>
      <c r="N33" s="510">
        <f t="shared" ref="N33:N34" si="15">ROUND(L33/H33*M33,2)</f>
        <v>0</v>
      </c>
      <c r="O33" s="455">
        <f t="shared" si="12"/>
        <v>0</v>
      </c>
      <c r="P33" s="609">
        <f t="shared" si="13"/>
        <v>0</v>
      </c>
    </row>
    <row r="34" spans="1:16" s="189" customFormat="1" x14ac:dyDescent="0.2">
      <c r="A34" s="31">
        <v>28</v>
      </c>
      <c r="B34" s="468" t="s">
        <v>373</v>
      </c>
      <c r="C34" s="468" t="s">
        <v>93</v>
      </c>
      <c r="D34" s="467">
        <v>1102</v>
      </c>
      <c r="E34" s="467" t="s">
        <v>44</v>
      </c>
      <c r="F34" s="506" t="s">
        <v>376</v>
      </c>
      <c r="G34" s="507">
        <f>VLOOKUP(E34,[0]!tabella,2)</f>
        <v>0.79930000000000001</v>
      </c>
      <c r="H34" s="508">
        <v>16</v>
      </c>
      <c r="I34" s="471" t="b">
        <f t="shared" si="10"/>
        <v>0</v>
      </c>
      <c r="J34" s="471">
        <v>1</v>
      </c>
      <c r="K34" s="471">
        <f t="shared" si="11"/>
        <v>0</v>
      </c>
      <c r="L34" s="518">
        <f t="shared" si="0"/>
        <v>0</v>
      </c>
      <c r="M34" s="509"/>
      <c r="N34" s="510">
        <f t="shared" si="15"/>
        <v>0</v>
      </c>
      <c r="O34" s="455">
        <f t="shared" si="12"/>
        <v>0</v>
      </c>
      <c r="P34" s="609">
        <f t="shared" si="13"/>
        <v>0</v>
      </c>
    </row>
    <row r="35" spans="1:16" s="189" customFormat="1" x14ac:dyDescent="0.2">
      <c r="A35" s="31">
        <v>29</v>
      </c>
      <c r="B35" s="468" t="s">
        <v>374</v>
      </c>
      <c r="C35" s="468" t="s">
        <v>375</v>
      </c>
      <c r="D35" s="467">
        <v>1101</v>
      </c>
      <c r="E35" s="467" t="s">
        <v>44</v>
      </c>
      <c r="F35" s="506" t="s">
        <v>376</v>
      </c>
      <c r="G35" s="507">
        <f>VLOOKUP(E35,[0]!tabella,2)</f>
        <v>0.79930000000000001</v>
      </c>
      <c r="H35" s="508">
        <v>16</v>
      </c>
      <c r="I35" s="471" t="b">
        <f t="shared" si="10"/>
        <v>0</v>
      </c>
      <c r="J35" s="471">
        <v>1</v>
      </c>
      <c r="K35" s="471">
        <f t="shared" si="11"/>
        <v>0</v>
      </c>
      <c r="L35" s="518">
        <f t="shared" si="0"/>
        <v>0</v>
      </c>
      <c r="M35" s="509"/>
      <c r="N35" s="510">
        <f>ROUND(L35/H35*M35,2)</f>
        <v>0</v>
      </c>
      <c r="O35" s="455">
        <f t="shared" si="12"/>
        <v>0</v>
      </c>
      <c r="P35" s="609">
        <f t="shared" si="13"/>
        <v>0</v>
      </c>
    </row>
    <row r="36" spans="1:16" x14ac:dyDescent="0.2">
      <c r="A36" s="31">
        <v>30</v>
      </c>
      <c r="B36" s="30" t="s">
        <v>63</v>
      </c>
      <c r="C36" s="30" t="s">
        <v>64</v>
      </c>
      <c r="D36" s="31">
        <v>1101</v>
      </c>
      <c r="E36" s="31" t="s">
        <v>47</v>
      </c>
      <c r="F36" s="38"/>
      <c r="G36" s="32">
        <f>VLOOKUP(E36,[0]!tabella,2)</f>
        <v>0.86970000000000003</v>
      </c>
      <c r="H36" s="85">
        <v>365</v>
      </c>
      <c r="I36" s="83">
        <f t="shared" si="9"/>
        <v>317.44049999999999</v>
      </c>
      <c r="J36" s="83">
        <v>1</v>
      </c>
      <c r="K36" s="83">
        <f t="shared" si="7"/>
        <v>317.44049999999999</v>
      </c>
      <c r="L36" s="40">
        <f t="shared" ref="L36:L52" si="16">ROUND($B$56*K36,2)</f>
        <v>875.79</v>
      </c>
      <c r="M36" s="256">
        <v>1</v>
      </c>
      <c r="N36" s="253">
        <f t="shared" si="3"/>
        <v>2.4</v>
      </c>
      <c r="O36" s="455">
        <f t="shared" si="8"/>
        <v>873.39</v>
      </c>
      <c r="P36" s="609">
        <f t="shared" si="6"/>
        <v>873.39</v>
      </c>
    </row>
    <row r="37" spans="1:16" x14ac:dyDescent="0.2">
      <c r="A37" s="31">
        <v>31</v>
      </c>
      <c r="B37" s="146" t="s">
        <v>296</v>
      </c>
      <c r="C37" s="146" t="s">
        <v>137</v>
      </c>
      <c r="D37" s="31">
        <v>1102</v>
      </c>
      <c r="E37" s="145" t="s">
        <v>47</v>
      </c>
      <c r="F37" s="38"/>
      <c r="G37" s="32">
        <f>VLOOKUP(E37,[0]!tabella,2)</f>
        <v>0.86970000000000003</v>
      </c>
      <c r="H37" s="85">
        <v>365</v>
      </c>
      <c r="I37" s="83">
        <f>IF(H37&gt;60,ROUND(H37*G37,4))</f>
        <v>317.44049999999999</v>
      </c>
      <c r="J37" s="83">
        <v>1</v>
      </c>
      <c r="K37" s="83">
        <f>I37*J37</f>
        <v>317.44049999999999</v>
      </c>
      <c r="L37" s="40">
        <f t="shared" si="16"/>
        <v>875.79</v>
      </c>
      <c r="M37" s="258">
        <v>4</v>
      </c>
      <c r="N37" s="253">
        <f>ROUND(L37/H37*M37,2)</f>
        <v>9.6</v>
      </c>
      <c r="O37" s="610">
        <f>L37-N37</f>
        <v>866.18999999999994</v>
      </c>
      <c r="P37" s="611">
        <f>+O37</f>
        <v>866.18999999999994</v>
      </c>
    </row>
    <row r="38" spans="1:16" x14ac:dyDescent="0.2">
      <c r="A38" s="31">
        <v>32</v>
      </c>
      <c r="B38" s="30" t="s">
        <v>86</v>
      </c>
      <c r="C38" s="30" t="s">
        <v>87</v>
      </c>
      <c r="D38" s="31">
        <v>1101</v>
      </c>
      <c r="E38" s="31" t="s">
        <v>47</v>
      </c>
      <c r="F38" s="257" t="s">
        <v>356</v>
      </c>
      <c r="G38" s="32">
        <f>VLOOKUP(E38,[0]!tabella,2)</f>
        <v>0.86970000000000003</v>
      </c>
      <c r="H38" s="85">
        <v>307</v>
      </c>
      <c r="I38" s="83">
        <f t="shared" si="9"/>
        <v>266.99790000000002</v>
      </c>
      <c r="J38" s="83">
        <v>1</v>
      </c>
      <c r="K38" s="83">
        <f t="shared" si="7"/>
        <v>266.99790000000002</v>
      </c>
      <c r="L38" s="40">
        <f t="shared" si="16"/>
        <v>736.62</v>
      </c>
      <c r="M38" s="256">
        <v>4</v>
      </c>
      <c r="N38" s="253">
        <f t="shared" si="3"/>
        <v>9.6</v>
      </c>
      <c r="O38" s="455">
        <f t="shared" si="8"/>
        <v>727.02</v>
      </c>
      <c r="P38" s="609">
        <f t="shared" si="6"/>
        <v>727.02</v>
      </c>
    </row>
    <row r="39" spans="1:16" x14ac:dyDescent="0.2">
      <c r="A39" s="31">
        <v>33</v>
      </c>
      <c r="B39" s="146" t="s">
        <v>275</v>
      </c>
      <c r="C39" s="146" t="s">
        <v>276</v>
      </c>
      <c r="D39" s="31">
        <v>1102</v>
      </c>
      <c r="E39" s="31" t="s">
        <v>47</v>
      </c>
      <c r="F39" s="107" t="s">
        <v>390</v>
      </c>
      <c r="G39" s="32">
        <f>VLOOKUP(E39,[0]!tabella,2)</f>
        <v>0.86970000000000003</v>
      </c>
      <c r="H39" s="85">
        <v>365</v>
      </c>
      <c r="I39" s="83">
        <f>IF(H39&gt;60,ROUND(H39*G39,4))</f>
        <v>317.44049999999999</v>
      </c>
      <c r="J39" s="83">
        <f>0.5/12*5+1/12*7</f>
        <v>0.79166666666666652</v>
      </c>
      <c r="K39" s="83">
        <f>I39*J39</f>
        <v>251.30706249999994</v>
      </c>
      <c r="L39" s="40">
        <f t="shared" si="16"/>
        <v>693.33</v>
      </c>
      <c r="M39" s="256"/>
      <c r="N39" s="253">
        <f t="shared" si="3"/>
        <v>0</v>
      </c>
      <c r="O39" s="455">
        <f>L39-N39</f>
        <v>693.33</v>
      </c>
      <c r="P39" s="609">
        <f t="shared" si="6"/>
        <v>693.33</v>
      </c>
    </row>
    <row r="40" spans="1:16" x14ac:dyDescent="0.2">
      <c r="A40" s="31">
        <v>34</v>
      </c>
      <c r="B40" s="30" t="s">
        <v>92</v>
      </c>
      <c r="C40" s="30" t="s">
        <v>93</v>
      </c>
      <c r="D40" s="31">
        <v>1101</v>
      </c>
      <c r="E40" s="31" t="s">
        <v>47</v>
      </c>
      <c r="F40" s="144" t="s">
        <v>358</v>
      </c>
      <c r="G40" s="32">
        <f>VLOOKUP(E40,[0]!tabella,2)</f>
        <v>0.86970000000000003</v>
      </c>
      <c r="H40" s="85">
        <f>365-15-9</f>
        <v>341</v>
      </c>
      <c r="I40" s="83">
        <f t="shared" si="9"/>
        <v>296.5677</v>
      </c>
      <c r="J40" s="456">
        <f>+(0.5/12*8)+(1/12*4)</f>
        <v>0.66666666666666663</v>
      </c>
      <c r="K40" s="83">
        <f t="shared" si="7"/>
        <v>197.71179999999998</v>
      </c>
      <c r="L40" s="40">
        <f t="shared" si="16"/>
        <v>545.47</v>
      </c>
      <c r="M40" s="256">
        <v>3</v>
      </c>
      <c r="N40" s="253">
        <f t="shared" si="3"/>
        <v>4.8</v>
      </c>
      <c r="O40" s="455">
        <f t="shared" si="8"/>
        <v>540.67000000000007</v>
      </c>
      <c r="P40" s="609">
        <f t="shared" si="6"/>
        <v>540.67000000000007</v>
      </c>
    </row>
    <row r="41" spans="1:16" x14ac:dyDescent="0.2">
      <c r="A41" s="31">
        <v>35</v>
      </c>
      <c r="B41" s="30" t="s">
        <v>94</v>
      </c>
      <c r="C41" s="30" t="s">
        <v>95</v>
      </c>
      <c r="D41" s="31">
        <v>1102</v>
      </c>
      <c r="E41" s="31" t="s">
        <v>47</v>
      </c>
      <c r="F41" s="38"/>
      <c r="G41" s="32">
        <f>VLOOKUP(E41,[0]!tabella,2)</f>
        <v>0.86970000000000003</v>
      </c>
      <c r="H41" s="85">
        <v>365</v>
      </c>
      <c r="I41" s="83">
        <f t="shared" si="9"/>
        <v>317.44049999999999</v>
      </c>
      <c r="J41" s="83">
        <v>1</v>
      </c>
      <c r="K41" s="83">
        <f t="shared" si="7"/>
        <v>317.44049999999999</v>
      </c>
      <c r="L41" s="40">
        <f t="shared" si="16"/>
        <v>875.79</v>
      </c>
      <c r="M41" s="256">
        <v>10</v>
      </c>
      <c r="N41" s="253">
        <f t="shared" si="3"/>
        <v>23.99</v>
      </c>
      <c r="O41" s="455">
        <f t="shared" si="8"/>
        <v>851.8</v>
      </c>
      <c r="P41" s="609">
        <f t="shared" si="6"/>
        <v>851.8</v>
      </c>
    </row>
    <row r="42" spans="1:16" x14ac:dyDescent="0.2">
      <c r="A42" s="31">
        <v>36</v>
      </c>
      <c r="B42" s="30" t="s">
        <v>96</v>
      </c>
      <c r="C42" s="30" t="s">
        <v>97</v>
      </c>
      <c r="D42" s="31">
        <v>1102</v>
      </c>
      <c r="E42" s="31" t="s">
        <v>47</v>
      </c>
      <c r="F42" s="38"/>
      <c r="G42" s="32">
        <f>VLOOKUP(E42,[0]!tabella,2)</f>
        <v>0.86970000000000003</v>
      </c>
      <c r="H42" s="85">
        <v>365</v>
      </c>
      <c r="I42" s="83">
        <f t="shared" si="9"/>
        <v>317.44049999999999</v>
      </c>
      <c r="J42" s="83">
        <v>1</v>
      </c>
      <c r="K42" s="83">
        <f t="shared" si="7"/>
        <v>317.44049999999999</v>
      </c>
      <c r="L42" s="40">
        <f t="shared" si="16"/>
        <v>875.79</v>
      </c>
      <c r="M42" s="256">
        <v>11</v>
      </c>
      <c r="N42" s="253">
        <f t="shared" si="3"/>
        <v>26.39</v>
      </c>
      <c r="O42" s="455">
        <f t="shared" si="8"/>
        <v>849.4</v>
      </c>
      <c r="P42" s="609">
        <f t="shared" si="6"/>
        <v>849.4</v>
      </c>
    </row>
    <row r="43" spans="1:16" x14ac:dyDescent="0.2">
      <c r="A43" s="31">
        <v>37</v>
      </c>
      <c r="B43" s="30" t="s">
        <v>89</v>
      </c>
      <c r="C43" s="30" t="s">
        <v>90</v>
      </c>
      <c r="D43" s="31">
        <v>1102</v>
      </c>
      <c r="E43" s="31" t="s">
        <v>47</v>
      </c>
      <c r="F43" s="38" t="s">
        <v>391</v>
      </c>
      <c r="G43" s="32">
        <f>VLOOKUP(E43,[0]!tabella,2)</f>
        <v>0.86970000000000003</v>
      </c>
      <c r="H43" s="85">
        <v>365</v>
      </c>
      <c r="I43" s="83">
        <f t="shared" si="9"/>
        <v>317.44049999999999</v>
      </c>
      <c r="J43" s="83">
        <f>0.722/12*5+1/12*7</f>
        <v>0.88416666666666655</v>
      </c>
      <c r="K43" s="83">
        <f t="shared" si="7"/>
        <v>280.67030874999995</v>
      </c>
      <c r="L43" s="40">
        <f t="shared" si="16"/>
        <v>774.34</v>
      </c>
      <c r="M43" s="256">
        <v>5</v>
      </c>
      <c r="N43" s="253">
        <f t="shared" si="3"/>
        <v>10.61</v>
      </c>
      <c r="O43" s="455">
        <f t="shared" si="8"/>
        <v>763.73</v>
      </c>
      <c r="P43" s="609">
        <f t="shared" si="6"/>
        <v>763.73</v>
      </c>
    </row>
    <row r="44" spans="1:16" x14ac:dyDescent="0.2">
      <c r="A44" s="31">
        <v>38</v>
      </c>
      <c r="B44" s="30" t="s">
        <v>100</v>
      </c>
      <c r="C44" s="30" t="s">
        <v>105</v>
      </c>
      <c r="D44" s="31">
        <v>1101</v>
      </c>
      <c r="E44" s="31" t="s">
        <v>47</v>
      </c>
      <c r="F44" s="38"/>
      <c r="G44" s="32">
        <f>VLOOKUP(E44,[0]!tabella,2)</f>
        <v>0.86970000000000003</v>
      </c>
      <c r="H44" s="85">
        <v>365</v>
      </c>
      <c r="I44" s="83">
        <f t="shared" ref="I44:I49" si="17">IF(H44&gt;60,ROUND(H44*G44,4))</f>
        <v>317.44049999999999</v>
      </c>
      <c r="J44" s="83">
        <v>1</v>
      </c>
      <c r="K44" s="83">
        <f t="shared" si="7"/>
        <v>317.44049999999999</v>
      </c>
      <c r="L44" s="40">
        <f t="shared" si="16"/>
        <v>875.79</v>
      </c>
      <c r="M44" s="256">
        <v>4</v>
      </c>
      <c r="N44" s="253">
        <f t="shared" si="3"/>
        <v>9.6</v>
      </c>
      <c r="O44" s="455">
        <f t="shared" si="8"/>
        <v>866.18999999999994</v>
      </c>
      <c r="P44" s="609">
        <f t="shared" si="6"/>
        <v>866.18999999999994</v>
      </c>
    </row>
    <row r="45" spans="1:16" x14ac:dyDescent="0.2">
      <c r="A45" s="31">
        <v>39</v>
      </c>
      <c r="B45" s="30" t="s">
        <v>109</v>
      </c>
      <c r="C45" s="30" t="s">
        <v>110</v>
      </c>
      <c r="D45" s="31">
        <v>1102</v>
      </c>
      <c r="E45" s="31" t="s">
        <v>47</v>
      </c>
      <c r="F45" s="38"/>
      <c r="G45" s="32">
        <f>VLOOKUP(E45,[0]!tabella,2)</f>
        <v>0.86970000000000003</v>
      </c>
      <c r="H45" s="85">
        <v>365</v>
      </c>
      <c r="I45" s="83">
        <f t="shared" si="17"/>
        <v>317.44049999999999</v>
      </c>
      <c r="J45" s="83">
        <v>1</v>
      </c>
      <c r="K45" s="83">
        <f t="shared" si="7"/>
        <v>317.44049999999999</v>
      </c>
      <c r="L45" s="40">
        <f t="shared" si="16"/>
        <v>875.79</v>
      </c>
      <c r="M45" s="256">
        <v>2</v>
      </c>
      <c r="N45" s="253">
        <f t="shared" si="3"/>
        <v>4.8</v>
      </c>
      <c r="O45" s="455">
        <f t="shared" si="8"/>
        <v>870.99</v>
      </c>
      <c r="P45" s="609">
        <f t="shared" si="6"/>
        <v>870.99</v>
      </c>
    </row>
    <row r="46" spans="1:16" x14ac:dyDescent="0.2">
      <c r="A46" s="31">
        <v>40</v>
      </c>
      <c r="B46" s="30" t="s">
        <v>107</v>
      </c>
      <c r="C46" s="30" t="s">
        <v>108</v>
      </c>
      <c r="D46" s="31">
        <v>1102</v>
      </c>
      <c r="E46" s="31" t="s">
        <v>47</v>
      </c>
      <c r="F46" s="38"/>
      <c r="G46" s="32">
        <f>VLOOKUP(E46,[0]!tabella,2)</f>
        <v>0.86970000000000003</v>
      </c>
      <c r="H46" s="85">
        <v>365</v>
      </c>
      <c r="I46" s="83">
        <f t="shared" si="17"/>
        <v>317.44049999999999</v>
      </c>
      <c r="J46" s="83">
        <v>1</v>
      </c>
      <c r="K46" s="83">
        <f t="shared" si="7"/>
        <v>317.44049999999999</v>
      </c>
      <c r="L46" s="40">
        <f t="shared" si="16"/>
        <v>875.79</v>
      </c>
      <c r="M46" s="256"/>
      <c r="N46" s="253">
        <f t="shared" si="3"/>
        <v>0</v>
      </c>
      <c r="O46" s="455">
        <f t="shared" si="8"/>
        <v>875.79</v>
      </c>
      <c r="P46" s="609">
        <f t="shared" si="6"/>
        <v>875.79</v>
      </c>
    </row>
    <row r="47" spans="1:16" x14ac:dyDescent="0.2">
      <c r="A47" s="31">
        <v>41</v>
      </c>
      <c r="B47" s="30" t="s">
        <v>99</v>
      </c>
      <c r="C47" s="30" t="s">
        <v>64</v>
      </c>
      <c r="D47" s="31">
        <v>1102</v>
      </c>
      <c r="E47" s="31" t="s">
        <v>47</v>
      </c>
      <c r="F47" s="38"/>
      <c r="G47" s="32">
        <f>VLOOKUP(E48,[0]!tabella,2)</f>
        <v>0.86970000000000003</v>
      </c>
      <c r="H47" s="85">
        <v>365</v>
      </c>
      <c r="I47" s="83">
        <f t="shared" si="17"/>
        <v>317.44049999999999</v>
      </c>
      <c r="J47" s="83">
        <v>1</v>
      </c>
      <c r="K47" s="83">
        <f t="shared" si="7"/>
        <v>317.44049999999999</v>
      </c>
      <c r="L47" s="40">
        <f t="shared" si="16"/>
        <v>875.79</v>
      </c>
      <c r="M47" s="256"/>
      <c r="N47" s="253">
        <f t="shared" si="3"/>
        <v>0</v>
      </c>
      <c r="O47" s="455">
        <f t="shared" si="8"/>
        <v>875.79</v>
      </c>
      <c r="P47" s="609">
        <f t="shared" si="6"/>
        <v>875.79</v>
      </c>
    </row>
    <row r="48" spans="1:16" x14ac:dyDescent="0.2">
      <c r="A48" s="31">
        <v>42</v>
      </c>
      <c r="B48" s="146" t="s">
        <v>303</v>
      </c>
      <c r="C48" s="146" t="s">
        <v>304</v>
      </c>
      <c r="D48" s="31">
        <v>1102</v>
      </c>
      <c r="E48" s="31" t="s">
        <v>47</v>
      </c>
      <c r="F48" s="38"/>
      <c r="G48" s="32">
        <f>VLOOKUP(E49,[0]!tabella,2)</f>
        <v>0.86970000000000003</v>
      </c>
      <c r="H48" s="85">
        <v>365</v>
      </c>
      <c r="I48" s="83">
        <f t="shared" si="17"/>
        <v>317.44049999999999</v>
      </c>
      <c r="J48" s="83">
        <v>1</v>
      </c>
      <c r="K48" s="83">
        <f t="shared" si="7"/>
        <v>317.44049999999999</v>
      </c>
      <c r="L48" s="40">
        <f t="shared" si="16"/>
        <v>875.79</v>
      </c>
      <c r="M48" s="388">
        <v>1</v>
      </c>
      <c r="N48" s="253">
        <f t="shared" si="3"/>
        <v>2.4</v>
      </c>
      <c r="O48" s="455">
        <f t="shared" si="8"/>
        <v>873.39</v>
      </c>
      <c r="P48" s="609">
        <f t="shared" si="6"/>
        <v>873.39</v>
      </c>
    </row>
    <row r="49" spans="1:16" s="21" customFormat="1" ht="18.75" x14ac:dyDescent="0.2">
      <c r="A49" s="31">
        <v>43</v>
      </c>
      <c r="B49" s="389" t="s">
        <v>307</v>
      </c>
      <c r="C49" s="146" t="s">
        <v>64</v>
      </c>
      <c r="D49" s="145">
        <v>1102</v>
      </c>
      <c r="E49" s="145" t="s">
        <v>47</v>
      </c>
      <c r="F49" s="144" t="s">
        <v>392</v>
      </c>
      <c r="G49" s="32">
        <f>VLOOKUP(E50,[0]!tabella,2)</f>
        <v>1</v>
      </c>
      <c r="H49" s="361">
        <f>31+28+31+30+31+30+31+31</f>
        <v>243</v>
      </c>
      <c r="I49" s="143">
        <f t="shared" si="17"/>
        <v>243</v>
      </c>
      <c r="J49" s="456">
        <f>1/243*151+0.722/243*92</f>
        <v>0.89474897119341568</v>
      </c>
      <c r="K49" s="143">
        <f t="shared" si="7"/>
        <v>217.42400000000001</v>
      </c>
      <c r="L49" s="40">
        <f t="shared" si="16"/>
        <v>599.85</v>
      </c>
      <c r="M49" s="262">
        <v>6</v>
      </c>
      <c r="N49" s="254">
        <f t="shared" si="3"/>
        <v>14.81</v>
      </c>
      <c r="O49" s="455">
        <f t="shared" si="8"/>
        <v>585.04000000000008</v>
      </c>
      <c r="P49" s="683">
        <f t="shared" si="6"/>
        <v>585.04000000000008</v>
      </c>
    </row>
    <row r="50" spans="1:16" x14ac:dyDescent="0.2">
      <c r="A50" s="31">
        <v>44</v>
      </c>
      <c r="B50" s="30" t="s">
        <v>82</v>
      </c>
      <c r="C50" s="30" t="s">
        <v>83</v>
      </c>
      <c r="D50" s="31">
        <v>1101</v>
      </c>
      <c r="E50" s="31" t="s">
        <v>85</v>
      </c>
      <c r="F50" s="38"/>
      <c r="G50" s="32">
        <f>VLOOKUP(E50,[0]!tabella,2)</f>
        <v>1</v>
      </c>
      <c r="H50" s="85">
        <v>365</v>
      </c>
      <c r="I50" s="83">
        <f>IF(H50&gt;60,ROUND(H50*G50,4))</f>
        <v>365</v>
      </c>
      <c r="J50" s="83">
        <v>1</v>
      </c>
      <c r="K50" s="83">
        <f t="shared" si="7"/>
        <v>365</v>
      </c>
      <c r="L50" s="40">
        <f t="shared" si="16"/>
        <v>1007</v>
      </c>
      <c r="M50" s="256">
        <v>1</v>
      </c>
      <c r="N50" s="253">
        <f t="shared" si="3"/>
        <v>2.76</v>
      </c>
      <c r="O50" s="455">
        <f t="shared" si="8"/>
        <v>1004.24</v>
      </c>
      <c r="P50" s="612">
        <f>+O50</f>
        <v>1004.24</v>
      </c>
    </row>
    <row r="51" spans="1:16" x14ac:dyDescent="0.2">
      <c r="A51" s="31">
        <v>45</v>
      </c>
      <c r="B51" s="30" t="s">
        <v>100</v>
      </c>
      <c r="C51" s="30" t="s">
        <v>101</v>
      </c>
      <c r="D51" s="31">
        <v>1102</v>
      </c>
      <c r="E51" s="31" t="s">
        <v>85</v>
      </c>
      <c r="F51" s="43"/>
      <c r="G51" s="32">
        <f>VLOOKUP(E51,[0]!tabella,2)</f>
        <v>1</v>
      </c>
      <c r="H51" s="85">
        <v>365</v>
      </c>
      <c r="I51" s="83">
        <f>IF(H51&gt;60,ROUND(H51*G51,4))</f>
        <v>365</v>
      </c>
      <c r="J51" s="83">
        <v>1</v>
      </c>
      <c r="K51" s="83">
        <f t="shared" si="7"/>
        <v>365</v>
      </c>
      <c r="L51" s="40">
        <f t="shared" si="16"/>
        <v>1007</v>
      </c>
      <c r="M51" s="256">
        <v>3</v>
      </c>
      <c r="N51" s="253">
        <f t="shared" si="3"/>
        <v>8.2799999999999994</v>
      </c>
      <c r="O51" s="455">
        <f t="shared" si="8"/>
        <v>998.72</v>
      </c>
      <c r="P51" s="612">
        <f>+O51</f>
        <v>998.72</v>
      </c>
    </row>
    <row r="52" spans="1:16" s="21" customFormat="1" x14ac:dyDescent="0.2">
      <c r="A52" s="31">
        <v>46</v>
      </c>
      <c r="B52" s="146" t="s">
        <v>51</v>
      </c>
      <c r="C52" s="146" t="s">
        <v>52</v>
      </c>
      <c r="D52" s="145">
        <v>1101</v>
      </c>
      <c r="E52" s="145" t="s">
        <v>85</v>
      </c>
      <c r="F52" s="43"/>
      <c r="G52" s="387">
        <f>VLOOKUP(E52,[0]!tabella,2)</f>
        <v>1</v>
      </c>
      <c r="H52" s="361">
        <f>365-2</f>
        <v>363</v>
      </c>
      <c r="I52" s="143">
        <f>IF(H52&gt;60,ROUND(H52*G52,4))</f>
        <v>363</v>
      </c>
      <c r="J52" s="369">
        <v>1</v>
      </c>
      <c r="K52" s="143">
        <f t="shared" si="7"/>
        <v>363</v>
      </c>
      <c r="L52" s="40">
        <f t="shared" si="16"/>
        <v>1001.48</v>
      </c>
      <c r="M52" s="262">
        <v>3</v>
      </c>
      <c r="N52" s="254">
        <f t="shared" si="3"/>
        <v>8.2799999999999994</v>
      </c>
      <c r="O52" s="455">
        <f t="shared" si="8"/>
        <v>993.2</v>
      </c>
      <c r="P52" s="612">
        <f>+O52</f>
        <v>993.2</v>
      </c>
    </row>
    <row r="53" spans="1:16" ht="15.75" x14ac:dyDescent="0.25">
      <c r="A53" s="31"/>
      <c r="B53" s="259"/>
      <c r="C53" s="260" t="s">
        <v>103</v>
      </c>
      <c r="E53" s="86">
        <f>CALCOLI!E65</f>
        <v>31993.013999999999</v>
      </c>
      <c r="F53" s="5"/>
      <c r="G53" s="259"/>
      <c r="H53" s="261"/>
      <c r="I53" s="84"/>
      <c r="J53" s="84"/>
      <c r="K53" s="608">
        <f t="shared" ref="K53:P53" si="18">SUM(K4:K52)</f>
        <v>11596.306538790002</v>
      </c>
      <c r="L53" s="608">
        <f t="shared" si="18"/>
        <v>31993.020000000008</v>
      </c>
      <c r="M53" s="608">
        <f t="shared" si="18"/>
        <v>151</v>
      </c>
      <c r="N53" s="608">
        <f t="shared" si="18"/>
        <v>298.95999999999998</v>
      </c>
      <c r="O53" s="613">
        <f t="shared" si="18"/>
        <v>31694.060000000012</v>
      </c>
      <c r="P53" s="613">
        <f t="shared" si="18"/>
        <v>31694.060000000005</v>
      </c>
    </row>
    <row r="54" spans="1:16" ht="13.5" thickBot="1" x14ac:dyDescent="0.25">
      <c r="A54" s="31"/>
      <c r="B54" s="30"/>
      <c r="C54" s="30"/>
      <c r="E54" s="26"/>
      <c r="F54" s="26"/>
      <c r="G54" s="26"/>
      <c r="H54" s="26"/>
      <c r="I54" s="26"/>
      <c r="J54" s="26"/>
      <c r="K54" s="26"/>
      <c r="L54" s="50"/>
      <c r="N54" s="42"/>
      <c r="O54" s="246"/>
    </row>
    <row r="55" spans="1:16" ht="13.5" thickBot="1" x14ac:dyDescent="0.25">
      <c r="A55" s="31"/>
      <c r="B55" s="30"/>
      <c r="C55" s="30"/>
      <c r="E55" s="26"/>
      <c r="F55" s="26"/>
      <c r="G55" s="26"/>
      <c r="H55" s="26"/>
      <c r="I55" s="26"/>
      <c r="J55" s="709" t="s">
        <v>234</v>
      </c>
      <c r="K55" s="710"/>
      <c r="L55" s="710"/>
      <c r="M55" s="710"/>
      <c r="N55" s="521">
        <f>+N53</f>
        <v>298.95999999999998</v>
      </c>
      <c r="O55" s="246"/>
    </row>
    <row r="56" spans="1:16" x14ac:dyDescent="0.2">
      <c r="A56" s="5" t="s">
        <v>104</v>
      </c>
      <c r="B56" s="140">
        <f>ROUND(E53/K53,6)</f>
        <v>2.7588970000000002</v>
      </c>
      <c r="C56" s="30"/>
      <c r="E56" s="26"/>
      <c r="F56" s="26"/>
      <c r="G56" s="26"/>
      <c r="H56" s="26"/>
      <c r="I56" s="26"/>
      <c r="J56" s="26"/>
      <c r="K56" s="26"/>
      <c r="L56" s="50"/>
      <c r="N56" s="42"/>
      <c r="O56" s="246"/>
    </row>
    <row r="57" spans="1:16" x14ac:dyDescent="0.2">
      <c r="A57" s="31"/>
      <c r="B57" s="30"/>
      <c r="C57" s="30"/>
      <c r="E57" s="26"/>
      <c r="F57" s="26"/>
      <c r="G57" s="26"/>
      <c r="H57" s="26"/>
      <c r="I57" s="26"/>
      <c r="J57" s="26"/>
      <c r="K57" s="26"/>
      <c r="L57" s="50"/>
      <c r="N57" s="42"/>
      <c r="O57" s="246"/>
    </row>
    <row r="58" spans="1:16" x14ac:dyDescent="0.2">
      <c r="A58" s="75" t="s">
        <v>289</v>
      </c>
      <c r="B58" s="75"/>
      <c r="C58" s="75"/>
      <c r="D58" s="75"/>
      <c r="E58" s="75"/>
      <c r="F58" s="90"/>
      <c r="G58" s="75"/>
      <c r="H58" s="75"/>
      <c r="I58" s="75"/>
      <c r="J58" s="75"/>
      <c r="K58" s="75"/>
      <c r="L58" s="115"/>
      <c r="M58" s="116"/>
      <c r="N58" s="117"/>
      <c r="O58" s="247"/>
    </row>
    <row r="59" spans="1:16" x14ac:dyDescent="0.2">
      <c r="B59" s="632" t="s">
        <v>393</v>
      </c>
      <c r="F59" s="54"/>
      <c r="I59" s="55"/>
      <c r="J59" s="55"/>
      <c r="K59" s="55"/>
    </row>
    <row r="60" spans="1:16" x14ac:dyDescent="0.2">
      <c r="B60" t="s">
        <v>313</v>
      </c>
      <c r="F60" s="56"/>
      <c r="I60" s="55"/>
      <c r="J60" s="55"/>
      <c r="K60" s="55"/>
    </row>
    <row r="61" spans="1:16" x14ac:dyDescent="0.2">
      <c r="A61" s="8" t="s">
        <v>111</v>
      </c>
      <c r="B61" s="30"/>
      <c r="C61" s="30"/>
      <c r="F61" s="57"/>
      <c r="G61" s="55"/>
      <c r="H61" s="55"/>
      <c r="I61" s="55"/>
      <c r="J61" s="55"/>
      <c r="K61" s="55"/>
      <c r="L61" s="55"/>
    </row>
    <row r="62" spans="1:16" s="3" customFormat="1" x14ac:dyDescent="0.2">
      <c r="A62"/>
      <c r="B62"/>
      <c r="C62" s="3">
        <v>1103</v>
      </c>
      <c r="D62" t="s">
        <v>113</v>
      </c>
      <c r="E62"/>
      <c r="F62" s="58"/>
      <c r="G62" s="59"/>
      <c r="H62" s="59"/>
      <c r="I62" s="59"/>
      <c r="J62" s="59"/>
      <c r="K62" s="59"/>
      <c r="L62" s="59"/>
      <c r="M62" s="15"/>
      <c r="N62" s="60"/>
      <c r="O62" s="245"/>
    </row>
    <row r="63" spans="1:16" s="3" customFormat="1" x14ac:dyDescent="0.2">
      <c r="A63"/>
      <c r="B63"/>
      <c r="C63" s="68"/>
      <c r="D63" s="88"/>
      <c r="E63"/>
      <c r="F63" s="58"/>
      <c r="G63" s="59"/>
      <c r="H63" s="59"/>
      <c r="I63" s="59"/>
      <c r="J63" s="59"/>
      <c r="K63" s="59"/>
      <c r="L63" s="59"/>
      <c r="M63" s="15"/>
      <c r="N63" s="60"/>
      <c r="O63" s="245"/>
    </row>
    <row r="64" spans="1:16" s="3" customFormat="1" x14ac:dyDescent="0.2">
      <c r="A64"/>
      <c r="B64"/>
      <c r="C64" s="68"/>
      <c r="D64" s="88"/>
      <c r="E64"/>
      <c r="F64" s="58"/>
      <c r="G64" s="59"/>
      <c r="I64" s="59"/>
      <c r="J64" s="59"/>
      <c r="K64" s="59"/>
      <c r="L64" s="59"/>
      <c r="M64" s="15"/>
      <c r="N64" s="60"/>
      <c r="O64" s="245"/>
    </row>
    <row r="65" spans="1:15" x14ac:dyDescent="0.2">
      <c r="B65" s="21" t="s">
        <v>223</v>
      </c>
      <c r="C65" s="54">
        <f>SUMIF($D$3:$D$52,"1101",$L$3:$L$52)</f>
        <v>18190.82</v>
      </c>
      <c r="D65" s="163">
        <f>ROUND(C65*23.8%,2)</f>
        <v>4329.42</v>
      </c>
      <c r="E65" s="62"/>
      <c r="F65" s="57"/>
      <c r="G65" s="55"/>
      <c r="H65" s="92"/>
      <c r="I65" s="55"/>
      <c r="J65" s="55"/>
      <c r="K65" s="55"/>
      <c r="L65" s="55"/>
    </row>
    <row r="66" spans="1:15" x14ac:dyDescent="0.2">
      <c r="B66" s="21" t="s">
        <v>143</v>
      </c>
      <c r="C66" s="54"/>
      <c r="D66" s="164">
        <f>ROUND(C66*23.8%,2)</f>
        <v>0</v>
      </c>
      <c r="E66" s="62"/>
      <c r="F66" s="57"/>
      <c r="G66" s="55"/>
      <c r="H66" s="92"/>
      <c r="I66" s="55"/>
      <c r="J66" s="55"/>
      <c r="K66" s="55"/>
      <c r="L66" s="55"/>
    </row>
    <row r="67" spans="1:15" x14ac:dyDescent="0.2">
      <c r="A67" s="59"/>
      <c r="B67" s="3" t="s">
        <v>224</v>
      </c>
      <c r="C67" s="65"/>
      <c r="D67" s="66">
        <f>SUM(D65:D66)+C66</f>
        <v>4329.42</v>
      </c>
      <c r="E67" s="67"/>
      <c r="F67" s="56"/>
      <c r="H67" s="93"/>
      <c r="L67" s="55"/>
    </row>
    <row r="68" spans="1:15" s="3" customFormat="1" x14ac:dyDescent="0.2">
      <c r="A68" s="55"/>
      <c r="B68" s="55"/>
      <c r="C68" s="63"/>
      <c r="D68" s="63"/>
      <c r="E68" s="64"/>
      <c r="F68" s="68"/>
      <c r="H68" s="93"/>
      <c r="L68" s="4"/>
      <c r="M68" s="15"/>
      <c r="N68" s="60"/>
      <c r="O68" s="245"/>
    </row>
    <row r="69" spans="1:15" x14ac:dyDescent="0.2">
      <c r="A69" s="55"/>
      <c r="B69" t="s">
        <v>225</v>
      </c>
      <c r="C69" s="48">
        <f>SUMIF($D$4:$D$52,"1102",$L$4:$L$52)</f>
        <v>13802.200000000003</v>
      </c>
      <c r="D69" s="63">
        <f>ROUND(C69*23.8%,2)</f>
        <v>3284.92</v>
      </c>
      <c r="E69" s="63"/>
      <c r="F69" s="56"/>
      <c r="H69" s="93"/>
    </row>
    <row r="70" spans="1:15" x14ac:dyDescent="0.2">
      <c r="A70" s="55"/>
      <c r="B70" t="s">
        <v>226</v>
      </c>
      <c r="C70" s="41"/>
      <c r="D70" s="119">
        <f>(C70*23.8%)</f>
        <v>0</v>
      </c>
      <c r="E70" s="41"/>
      <c r="F70" s="56"/>
      <c r="H70" s="91"/>
    </row>
    <row r="71" spans="1:15" s="16" customFormat="1" x14ac:dyDescent="0.2">
      <c r="A71" s="59"/>
      <c r="B71" s="3" t="s">
        <v>227</v>
      </c>
      <c r="C71" s="65"/>
      <c r="D71" s="66">
        <f>SUM(D69:D70)</f>
        <v>3284.92</v>
      </c>
      <c r="E71" s="66"/>
      <c r="F71" s="69"/>
      <c r="L71" s="14"/>
      <c r="M71" s="17"/>
      <c r="N71" s="70"/>
      <c r="O71" s="248"/>
    </row>
    <row r="72" spans="1:15" s="16" customFormat="1" x14ac:dyDescent="0.2">
      <c r="A72" s="55"/>
      <c r="B72"/>
      <c r="C72" s="41"/>
      <c r="D72" s="41"/>
      <c r="E72" s="41"/>
      <c r="F72" s="69"/>
      <c r="L72" s="14"/>
      <c r="M72" s="17"/>
      <c r="N72" s="70"/>
      <c r="O72" s="248"/>
    </row>
    <row r="73" spans="1:15" s="16" customFormat="1" x14ac:dyDescent="0.2">
      <c r="A73" s="3" t="s">
        <v>114</v>
      </c>
      <c r="B73" s="3"/>
      <c r="C73" s="66"/>
      <c r="D73" s="66"/>
      <c r="E73" s="66"/>
      <c r="F73" s="69"/>
      <c r="L73" s="14"/>
      <c r="M73" s="17"/>
      <c r="N73" s="70"/>
      <c r="O73" s="248"/>
    </row>
    <row r="74" spans="1:15" x14ac:dyDescent="0.2">
      <c r="C74" s="41"/>
      <c r="D74" s="41"/>
      <c r="E74" s="41"/>
    </row>
    <row r="75" spans="1:15" x14ac:dyDescent="0.2">
      <c r="B75">
        <v>1103</v>
      </c>
      <c r="C75" s="41">
        <f>C65+C69</f>
        <v>31993.020000000004</v>
      </c>
      <c r="D75" s="41"/>
      <c r="E75" s="41"/>
    </row>
    <row r="76" spans="1:15" x14ac:dyDescent="0.2">
      <c r="A76" s="16"/>
      <c r="B76" s="16">
        <v>1101</v>
      </c>
      <c r="C76" s="71">
        <f>D67</f>
        <v>4329.42</v>
      </c>
      <c r="D76" s="72"/>
      <c r="E76" s="71"/>
    </row>
    <row r="77" spans="1:15" x14ac:dyDescent="0.2">
      <c r="A77" s="16"/>
      <c r="B77" s="16">
        <v>1102</v>
      </c>
      <c r="C77" s="71">
        <f>D71</f>
        <v>3284.92</v>
      </c>
      <c r="D77" s="71"/>
      <c r="E77" s="71"/>
    </row>
    <row r="78" spans="1:15" x14ac:dyDescent="0.2">
      <c r="A78" s="16"/>
      <c r="B78" s="16"/>
      <c r="C78" s="71"/>
      <c r="D78" s="71"/>
      <c r="E78" s="71"/>
    </row>
    <row r="79" spans="1:15" x14ac:dyDescent="0.2">
      <c r="A79" s="103" t="s">
        <v>37</v>
      </c>
      <c r="B79" s="113">
        <v>0.70850000000000002</v>
      </c>
      <c r="C79" s="2"/>
      <c r="D79" s="41"/>
      <c r="E79" s="41"/>
    </row>
    <row r="80" spans="1:15" x14ac:dyDescent="0.2">
      <c r="A80" s="104" t="s">
        <v>122</v>
      </c>
      <c r="B80" s="105">
        <v>0.749</v>
      </c>
    </row>
    <row r="81" spans="1:2" x14ac:dyDescent="0.2">
      <c r="A81" s="104" t="s">
        <v>44</v>
      </c>
      <c r="B81" s="105">
        <v>0.79930000000000001</v>
      </c>
    </row>
    <row r="82" spans="1:2" x14ac:dyDescent="0.2">
      <c r="A82" s="104" t="s">
        <v>47</v>
      </c>
      <c r="B82" s="105">
        <v>0.86970000000000003</v>
      </c>
    </row>
    <row r="83" spans="1:2" x14ac:dyDescent="0.2">
      <c r="A83" s="104"/>
      <c r="B83" s="105"/>
    </row>
    <row r="84" spans="1:2" x14ac:dyDescent="0.2">
      <c r="A84" s="106" t="s">
        <v>50</v>
      </c>
      <c r="B84" s="114">
        <v>1</v>
      </c>
    </row>
  </sheetData>
  <mergeCells count="2">
    <mergeCell ref="A1:O1"/>
    <mergeCell ref="J55:M55"/>
  </mergeCells>
  <phoneticPr fontId="7" type="noConversion"/>
  <printOptions gridLines="1"/>
  <pageMargins left="0.15748031496062992" right="0.19685039370078741" top="0.55118110236220474" bottom="0.43307086614173229" header="0.51181102362204722" footer="0.5118110236220472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92"/>
  <sheetViews>
    <sheetView topLeftCell="A2" zoomScaleNormal="100" workbookViewId="0">
      <pane xSplit="5" ySplit="2" topLeftCell="F22" activePane="bottomRight" state="frozen"/>
      <selection activeCell="N50" sqref="N50"/>
      <selection pane="topRight" activeCell="N50" sqref="N50"/>
      <selection pane="bottomLeft" activeCell="N50" sqref="N50"/>
      <selection pane="bottomRight" activeCell="N50" sqref="N50"/>
    </sheetView>
  </sheetViews>
  <sheetFormatPr defaultColWidth="9.140625" defaultRowHeight="18" x14ac:dyDescent="0.25"/>
  <cols>
    <col min="1" max="1" width="5" style="201" customWidth="1"/>
    <col min="2" max="2" width="24.28515625" style="201" bestFit="1" customWidth="1"/>
    <col min="3" max="3" width="20.28515625" style="201" customWidth="1"/>
    <col min="4" max="4" width="11.28515625" style="201" bestFit="1" customWidth="1"/>
    <col min="5" max="6" width="15.5703125" style="201" customWidth="1"/>
    <col min="7" max="7" width="16.42578125" style="201" customWidth="1"/>
    <col min="8" max="8" width="15.5703125" style="201" customWidth="1"/>
    <col min="9" max="9" width="17.140625" style="201" customWidth="1"/>
    <col min="10" max="10" width="21.42578125" style="201" customWidth="1"/>
    <col min="11" max="11" width="16.5703125" style="201" bestFit="1" customWidth="1"/>
    <col min="12" max="12" width="9.140625" style="201" customWidth="1"/>
    <col min="13" max="13" width="8.85546875" style="201" customWidth="1"/>
    <col min="14" max="14" width="14" style="209" bestFit="1" customWidth="1"/>
    <col min="15" max="15" width="13.7109375" style="199" customWidth="1"/>
    <col min="16" max="16" width="13.5703125" style="200" bestFit="1" customWidth="1"/>
    <col min="17" max="17" width="9.140625" style="201"/>
    <col min="18" max="18" width="8.42578125" style="201" customWidth="1"/>
    <col min="19" max="16384" width="9.140625" style="201"/>
  </cols>
  <sheetData>
    <row r="1" spans="1:18" hidden="1" x14ac:dyDescent="0.25">
      <c r="A1" s="711" t="s">
        <v>259</v>
      </c>
      <c r="B1" s="711"/>
      <c r="C1" s="711"/>
      <c r="D1" s="711"/>
      <c r="E1" s="711"/>
      <c r="F1" s="711"/>
      <c r="G1" s="711"/>
      <c r="H1" s="711"/>
      <c r="I1" s="711"/>
      <c r="J1" s="198"/>
      <c r="K1" s="198"/>
      <c r="L1" s="198"/>
      <c r="M1" s="198"/>
      <c r="N1" s="198"/>
    </row>
    <row r="2" spans="1:18" x14ac:dyDescent="0.25">
      <c r="A2" s="711" t="s">
        <v>355</v>
      </c>
      <c r="B2" s="711"/>
      <c r="C2" s="711"/>
      <c r="D2" s="711"/>
      <c r="E2" s="711"/>
      <c r="F2" s="711"/>
      <c r="G2" s="711"/>
      <c r="H2" s="711"/>
      <c r="I2" s="711"/>
      <c r="J2" s="198"/>
      <c r="K2" s="198"/>
      <c r="L2" s="198"/>
      <c r="M2" s="198"/>
      <c r="N2" s="198"/>
    </row>
    <row r="3" spans="1:18" ht="87.75" customHeight="1" x14ac:dyDescent="0.25">
      <c r="A3" s="202"/>
      <c r="B3" s="198" t="s">
        <v>27</v>
      </c>
      <c r="C3" s="198" t="s">
        <v>28</v>
      </c>
      <c r="D3" s="198"/>
      <c r="E3" s="198"/>
      <c r="F3" s="198" t="s">
        <v>148</v>
      </c>
      <c r="G3" s="198" t="s">
        <v>149</v>
      </c>
      <c r="H3" s="198" t="s">
        <v>150</v>
      </c>
      <c r="I3" s="210" t="s">
        <v>402</v>
      </c>
      <c r="J3" s="250" t="s">
        <v>291</v>
      </c>
      <c r="K3" s="665" t="s">
        <v>403</v>
      </c>
      <c r="L3" s="203"/>
      <c r="M3" s="204"/>
      <c r="N3" s="205"/>
      <c r="O3" s="206"/>
      <c r="P3" s="207"/>
    </row>
    <row r="4" spans="1:18" x14ac:dyDescent="0.25">
      <c r="A4" s="202">
        <v>1</v>
      </c>
      <c r="B4" s="201" t="s">
        <v>363</v>
      </c>
      <c r="C4" s="201" t="s">
        <v>64</v>
      </c>
      <c r="D4" s="201" t="s">
        <v>173</v>
      </c>
      <c r="E4" s="201">
        <v>1101</v>
      </c>
      <c r="F4" s="242">
        <v>252.19</v>
      </c>
      <c r="G4" s="242">
        <v>510.17</v>
      </c>
      <c r="H4" s="242">
        <v>945.04</v>
      </c>
      <c r="I4" s="242">
        <f>ROUND(1000/12*7,0)</f>
        <v>583</v>
      </c>
      <c r="J4" s="212">
        <f>SUM(F4:H4)</f>
        <v>1707.4</v>
      </c>
      <c r="K4" s="422">
        <f>J4-I4</f>
        <v>1124.4000000000001</v>
      </c>
      <c r="L4" s="203"/>
      <c r="M4" s="204"/>
      <c r="N4" s="205"/>
      <c r="O4" s="206"/>
      <c r="P4" s="207"/>
    </row>
    <row r="5" spans="1:18" x14ac:dyDescent="0.25">
      <c r="A5" s="202">
        <v>2</v>
      </c>
      <c r="B5" s="201" t="s">
        <v>160</v>
      </c>
      <c r="C5" s="201" t="s">
        <v>161</v>
      </c>
      <c r="D5" s="201" t="s">
        <v>44</v>
      </c>
      <c r="E5" s="201">
        <v>1101</v>
      </c>
      <c r="F5" s="242">
        <v>414.43</v>
      </c>
      <c r="G5" s="242">
        <v>793.86</v>
      </c>
      <c r="H5" s="242">
        <v>1433.56</v>
      </c>
      <c r="I5" s="242">
        <v>1000</v>
      </c>
      <c r="J5" s="212">
        <f t="shared" ref="J5:J15" si="0">SUM(F5:H5)</f>
        <v>2641.85</v>
      </c>
      <c r="K5" s="422">
        <f t="shared" ref="K5:K52" si="1">J5-I5</f>
        <v>1641.85</v>
      </c>
      <c r="L5" s="203"/>
      <c r="M5" s="204"/>
      <c r="N5" s="205"/>
      <c r="O5" s="206"/>
      <c r="P5" s="207"/>
    </row>
    <row r="6" spans="1:18" x14ac:dyDescent="0.25">
      <c r="A6" s="202">
        <v>3</v>
      </c>
      <c r="B6" s="201" t="s">
        <v>42</v>
      </c>
      <c r="C6" s="201" t="s">
        <v>43</v>
      </c>
      <c r="D6" s="201" t="s">
        <v>171</v>
      </c>
      <c r="E6" s="201">
        <v>1102</v>
      </c>
      <c r="F6" s="242">
        <v>403.74</v>
      </c>
      <c r="G6" s="242">
        <v>754.24</v>
      </c>
      <c r="H6" s="242">
        <v>1396.54</v>
      </c>
      <c r="I6" s="242"/>
      <c r="J6" s="212">
        <f t="shared" si="0"/>
        <v>2554.52</v>
      </c>
      <c r="K6" s="422">
        <f t="shared" si="1"/>
        <v>2554.52</v>
      </c>
      <c r="L6" s="203"/>
      <c r="M6" s="204"/>
      <c r="N6" s="205"/>
      <c r="O6" s="405"/>
      <c r="P6" s="406"/>
    </row>
    <row r="7" spans="1:18" x14ac:dyDescent="0.25">
      <c r="A7" s="202">
        <v>4</v>
      </c>
      <c r="B7" s="201" t="s">
        <v>48</v>
      </c>
      <c r="C7" s="201" t="s">
        <v>49</v>
      </c>
      <c r="D7" s="201" t="s">
        <v>171</v>
      </c>
      <c r="E7" s="201">
        <v>1101</v>
      </c>
      <c r="F7" s="242">
        <v>195.7</v>
      </c>
      <c r="G7" s="242">
        <f>745.98/2</f>
        <v>372.99</v>
      </c>
      <c r="H7" s="242">
        <f>1385.78/2</f>
        <v>692.89</v>
      </c>
      <c r="I7" s="242">
        <v>500</v>
      </c>
      <c r="J7" s="212">
        <f t="shared" si="0"/>
        <v>1261.58</v>
      </c>
      <c r="K7" s="422">
        <f t="shared" si="1"/>
        <v>761.57999999999993</v>
      </c>
      <c r="L7" s="203"/>
      <c r="M7" s="204"/>
      <c r="N7" s="205"/>
      <c r="O7" s="205"/>
      <c r="P7" s="406"/>
      <c r="R7" s="407"/>
    </row>
    <row r="8" spans="1:18" x14ac:dyDescent="0.25">
      <c r="A8" s="202"/>
      <c r="B8" s="201" t="s">
        <v>48</v>
      </c>
      <c r="C8" s="201" t="s">
        <v>49</v>
      </c>
      <c r="D8" s="201" t="s">
        <v>171</v>
      </c>
      <c r="E8" s="201">
        <v>1102</v>
      </c>
      <c r="F8" s="242">
        <v>195.7</v>
      </c>
      <c r="G8" s="242">
        <f>745.98/2</f>
        <v>372.99</v>
      </c>
      <c r="H8" s="242">
        <f>1385.78/2</f>
        <v>692.89</v>
      </c>
      <c r="I8" s="242">
        <v>500</v>
      </c>
      <c r="J8" s="212">
        <f t="shared" si="0"/>
        <v>1261.58</v>
      </c>
      <c r="K8" s="422">
        <f t="shared" si="1"/>
        <v>761.57999999999993</v>
      </c>
      <c r="L8" s="203"/>
      <c r="M8" s="204"/>
      <c r="N8" s="205"/>
      <c r="O8" s="408"/>
      <c r="P8" s="406"/>
    </row>
    <row r="9" spans="1:18" x14ac:dyDescent="0.25">
      <c r="A9" s="202">
        <v>5</v>
      </c>
      <c r="B9" s="201" t="s">
        <v>57</v>
      </c>
      <c r="C9" s="201" t="s">
        <v>58</v>
      </c>
      <c r="D9" s="201" t="s">
        <v>171</v>
      </c>
      <c r="E9" s="201">
        <v>1102</v>
      </c>
      <c r="F9" s="242">
        <v>335.74</v>
      </c>
      <c r="G9" s="242">
        <v>735.64</v>
      </c>
      <c r="H9" s="242">
        <v>1301.52</v>
      </c>
      <c r="I9" s="242">
        <v>1000</v>
      </c>
      <c r="J9" s="212">
        <f t="shared" si="0"/>
        <v>2372.9</v>
      </c>
      <c r="K9" s="422">
        <f t="shared" si="1"/>
        <v>1372.9</v>
      </c>
      <c r="L9" s="203"/>
      <c r="M9" s="204"/>
      <c r="N9" s="205"/>
      <c r="O9" s="405"/>
      <c r="P9" s="406"/>
    </row>
    <row r="10" spans="1:18" x14ac:dyDescent="0.25">
      <c r="A10" s="202">
        <v>6</v>
      </c>
      <c r="B10" s="201" t="s">
        <v>195</v>
      </c>
      <c r="C10" s="201" t="s">
        <v>196</v>
      </c>
      <c r="D10" s="201" t="s">
        <v>171</v>
      </c>
      <c r="E10" s="201">
        <v>1101</v>
      </c>
      <c r="F10" s="242">
        <v>361.77</v>
      </c>
      <c r="G10" s="242">
        <v>737.71</v>
      </c>
      <c r="H10" s="242">
        <v>1311.92</v>
      </c>
      <c r="I10" s="242">
        <v>1000</v>
      </c>
      <c r="J10" s="212">
        <f t="shared" si="0"/>
        <v>2411.4</v>
      </c>
      <c r="K10" s="422">
        <f t="shared" si="1"/>
        <v>1411.4</v>
      </c>
      <c r="L10" s="203"/>
      <c r="M10" s="204"/>
      <c r="N10" s="205"/>
      <c r="O10" s="405"/>
      <c r="P10" s="406"/>
    </row>
    <row r="11" spans="1:18" x14ac:dyDescent="0.25">
      <c r="A11" s="202">
        <v>7</v>
      </c>
      <c r="B11" s="201" t="s">
        <v>60</v>
      </c>
      <c r="C11" s="201" t="s">
        <v>61</v>
      </c>
      <c r="D11" s="201" t="s">
        <v>44</v>
      </c>
      <c r="E11" s="201">
        <v>1101</v>
      </c>
      <c r="F11" s="242">
        <v>424.25</v>
      </c>
      <c r="G11" s="242">
        <v>800.48</v>
      </c>
      <c r="H11" s="242">
        <v>1467.46</v>
      </c>
      <c r="I11" s="242">
        <v>1000</v>
      </c>
      <c r="J11" s="212">
        <f t="shared" si="0"/>
        <v>2692.19</v>
      </c>
      <c r="K11" s="422">
        <f t="shared" si="1"/>
        <v>1692.19</v>
      </c>
      <c r="L11" s="203"/>
      <c r="M11" s="204"/>
      <c r="N11" s="205"/>
      <c r="O11" s="405"/>
      <c r="P11" s="406"/>
    </row>
    <row r="12" spans="1:18" x14ac:dyDescent="0.25">
      <c r="A12" s="202">
        <v>8</v>
      </c>
      <c r="B12" s="201" t="s">
        <v>335</v>
      </c>
      <c r="C12" s="201" t="s">
        <v>338</v>
      </c>
      <c r="D12" s="201" t="s">
        <v>44</v>
      </c>
      <c r="E12" s="201">
        <v>1101</v>
      </c>
      <c r="F12" s="242">
        <v>351.31</v>
      </c>
      <c r="G12" s="242">
        <v>804.89</v>
      </c>
      <c r="H12" s="242">
        <v>1490.32</v>
      </c>
      <c r="I12" s="242">
        <v>1000</v>
      </c>
      <c r="J12" s="212">
        <f t="shared" si="0"/>
        <v>2646.52</v>
      </c>
      <c r="K12" s="422">
        <f t="shared" si="1"/>
        <v>1646.52</v>
      </c>
      <c r="L12" s="203"/>
      <c r="M12" s="204"/>
      <c r="N12" s="205"/>
      <c r="O12" s="405"/>
      <c r="P12" s="406"/>
    </row>
    <row r="13" spans="1:18" x14ac:dyDescent="0.25">
      <c r="A13" s="202">
        <v>9</v>
      </c>
      <c r="B13" s="201" t="s">
        <v>170</v>
      </c>
      <c r="C13" s="201" t="s">
        <v>163</v>
      </c>
      <c r="D13" s="201" t="s">
        <v>44</v>
      </c>
      <c r="E13" s="201">
        <v>1101</v>
      </c>
      <c r="F13" s="242">
        <v>312.5</v>
      </c>
      <c r="G13" s="242">
        <v>782.84</v>
      </c>
      <c r="H13" s="242">
        <v>1232.6400000000001</v>
      </c>
      <c r="I13" s="242">
        <v>1000</v>
      </c>
      <c r="J13" s="212">
        <f t="shared" si="0"/>
        <v>2327.9800000000005</v>
      </c>
      <c r="K13" s="422">
        <f t="shared" si="1"/>
        <v>1327.9800000000005</v>
      </c>
      <c r="L13" s="203"/>
      <c r="M13" s="204"/>
      <c r="N13" s="205"/>
      <c r="O13" s="405"/>
      <c r="P13" s="406"/>
    </row>
    <row r="14" spans="1:18" x14ac:dyDescent="0.25">
      <c r="A14" s="202">
        <v>10</v>
      </c>
      <c r="B14" s="201" t="s">
        <v>45</v>
      </c>
      <c r="C14" s="201" t="s">
        <v>46</v>
      </c>
      <c r="D14" s="201" t="s">
        <v>44</v>
      </c>
      <c r="E14" s="201">
        <v>1102</v>
      </c>
      <c r="F14" s="242">
        <v>430.85</v>
      </c>
      <c r="G14" s="242">
        <v>804.89</v>
      </c>
      <c r="H14" s="242">
        <v>1490.32</v>
      </c>
      <c r="I14" s="242">
        <v>1000</v>
      </c>
      <c r="J14" s="212">
        <f t="shared" si="0"/>
        <v>2726.06</v>
      </c>
      <c r="K14" s="422">
        <f t="shared" si="1"/>
        <v>1726.06</v>
      </c>
      <c r="L14" s="203"/>
      <c r="M14" s="204"/>
      <c r="N14" s="205"/>
      <c r="O14" s="405"/>
      <c r="P14" s="406"/>
    </row>
    <row r="15" spans="1:18" x14ac:dyDescent="0.25">
      <c r="A15" s="202">
        <v>11</v>
      </c>
      <c r="B15" s="201" t="s">
        <v>156</v>
      </c>
      <c r="C15" s="201" t="s">
        <v>138</v>
      </c>
      <c r="D15" s="201" t="s">
        <v>44</v>
      </c>
      <c r="E15" s="201">
        <v>1101</v>
      </c>
      <c r="F15" s="242">
        <v>422.6</v>
      </c>
      <c r="G15" s="242">
        <v>798.28</v>
      </c>
      <c r="H15" s="242">
        <v>1461.78</v>
      </c>
      <c r="I15" s="242">
        <v>1000</v>
      </c>
      <c r="J15" s="212">
        <f t="shared" si="0"/>
        <v>2682.66</v>
      </c>
      <c r="K15" s="422">
        <f t="shared" si="1"/>
        <v>1682.6599999999999</v>
      </c>
      <c r="L15" s="203"/>
      <c r="M15" s="204"/>
      <c r="N15" s="205"/>
      <c r="O15" s="405"/>
      <c r="P15" s="406"/>
    </row>
    <row r="16" spans="1:18" s="512" customFormat="1" x14ac:dyDescent="0.25">
      <c r="A16" s="511">
        <v>12</v>
      </c>
      <c r="B16" s="512" t="s">
        <v>373</v>
      </c>
      <c r="C16" s="512" t="s">
        <v>93</v>
      </c>
      <c r="D16" s="512" t="s">
        <v>44</v>
      </c>
      <c r="E16" s="512">
        <v>1102</v>
      </c>
      <c r="F16" s="513"/>
      <c r="G16" s="513"/>
      <c r="H16" s="513"/>
      <c r="I16" s="513">
        <v>0</v>
      </c>
      <c r="J16" s="212">
        <f>SUM(F16:H16)</f>
        <v>0</v>
      </c>
      <c r="K16" s="422">
        <f t="shared" si="1"/>
        <v>0</v>
      </c>
      <c r="L16" s="652"/>
      <c r="M16" s="653"/>
      <c r="N16" s="654"/>
      <c r="O16" s="655"/>
      <c r="P16" s="656"/>
    </row>
    <row r="17" spans="1:18" x14ac:dyDescent="0.25">
      <c r="A17" s="202">
        <v>13</v>
      </c>
      <c r="B17" s="201" t="s">
        <v>200</v>
      </c>
      <c r="C17" s="201" t="s">
        <v>197</v>
      </c>
      <c r="D17" s="201" t="s">
        <v>44</v>
      </c>
      <c r="E17" s="201">
        <v>1101</v>
      </c>
      <c r="F17" s="242">
        <v>417.59</v>
      </c>
      <c r="G17" s="242">
        <v>804.89</v>
      </c>
      <c r="H17" s="242">
        <v>1490.32</v>
      </c>
      <c r="I17" s="242">
        <v>1000</v>
      </c>
      <c r="J17" s="212">
        <f>SUM(F17:H17)</f>
        <v>2712.8</v>
      </c>
      <c r="K17" s="422">
        <f t="shared" si="1"/>
        <v>1712.8000000000002</v>
      </c>
      <c r="L17" s="203"/>
      <c r="M17" s="204"/>
      <c r="N17" s="205"/>
      <c r="O17" s="405"/>
      <c r="P17" s="406"/>
    </row>
    <row r="18" spans="1:18" s="512" customFormat="1" x14ac:dyDescent="0.25">
      <c r="A18" s="511">
        <v>14</v>
      </c>
      <c r="B18" s="512" t="s">
        <v>368</v>
      </c>
      <c r="C18" s="512" t="s">
        <v>369</v>
      </c>
      <c r="D18" s="512" t="s">
        <v>44</v>
      </c>
      <c r="E18" s="512">
        <v>1101</v>
      </c>
      <c r="F18" s="513"/>
      <c r="G18" s="513"/>
      <c r="H18" s="513"/>
      <c r="I18" s="513">
        <v>0</v>
      </c>
      <c r="J18" s="212">
        <f>SUM(F18:H18)</f>
        <v>0</v>
      </c>
      <c r="K18" s="422">
        <f t="shared" si="1"/>
        <v>0</v>
      </c>
      <c r="L18" s="652"/>
      <c r="M18" s="653"/>
      <c r="N18" s="654"/>
      <c r="O18" s="655"/>
      <c r="P18" s="656"/>
    </row>
    <row r="19" spans="1:18" s="512" customFormat="1" x14ac:dyDescent="0.25">
      <c r="A19" s="511">
        <v>15</v>
      </c>
      <c r="B19" s="512" t="s">
        <v>371</v>
      </c>
      <c r="C19" s="512" t="s">
        <v>372</v>
      </c>
      <c r="D19" s="512" t="s">
        <v>44</v>
      </c>
      <c r="E19" s="512">
        <v>1102</v>
      </c>
      <c r="F19" s="513"/>
      <c r="G19" s="513"/>
      <c r="H19" s="513"/>
      <c r="I19" s="513">
        <v>0</v>
      </c>
      <c r="J19" s="212">
        <f t="shared" ref="J19" si="2">SUM(F19:H19)</f>
        <v>0</v>
      </c>
      <c r="K19" s="422">
        <f t="shared" si="1"/>
        <v>0</v>
      </c>
      <c r="L19" s="652"/>
      <c r="M19" s="653"/>
      <c r="N19" s="654"/>
      <c r="O19" s="655"/>
      <c r="P19" s="656"/>
    </row>
    <row r="20" spans="1:18" x14ac:dyDescent="0.25">
      <c r="A20" s="202">
        <v>16</v>
      </c>
      <c r="B20" s="201" t="s">
        <v>81</v>
      </c>
      <c r="C20" s="201" t="s">
        <v>80</v>
      </c>
      <c r="D20" s="201" t="s">
        <v>44</v>
      </c>
      <c r="E20" s="201">
        <v>1101</v>
      </c>
      <c r="F20" s="242">
        <v>424.25</v>
      </c>
      <c r="G20" s="242">
        <v>800.48</v>
      </c>
      <c r="H20" s="242">
        <v>1467.46</v>
      </c>
      <c r="I20" s="242">
        <v>1000</v>
      </c>
      <c r="J20" s="212">
        <f>SUM(F20:H20)</f>
        <v>2692.19</v>
      </c>
      <c r="K20" s="422">
        <f t="shared" si="1"/>
        <v>1692.19</v>
      </c>
      <c r="L20" s="409"/>
      <c r="M20" s="410"/>
      <c r="N20" s="205"/>
      <c r="O20" s="405"/>
      <c r="P20" s="411"/>
    </row>
    <row r="21" spans="1:18" x14ac:dyDescent="0.25">
      <c r="A21" s="202">
        <v>17</v>
      </c>
      <c r="B21" s="201" t="s">
        <v>79</v>
      </c>
      <c r="C21" s="201" t="s">
        <v>80</v>
      </c>
      <c r="D21" s="201" t="s">
        <v>44</v>
      </c>
      <c r="E21" s="201">
        <v>1101</v>
      </c>
      <c r="F21" s="242">
        <v>388.53</v>
      </c>
      <c r="G21" s="242">
        <v>782.84</v>
      </c>
      <c r="H21" s="242">
        <v>1399.93</v>
      </c>
      <c r="I21" s="242">
        <v>1000</v>
      </c>
      <c r="J21" s="212">
        <f t="shared" ref="J21:J26" si="3">SUM(F21:H21)</f>
        <v>2571.3000000000002</v>
      </c>
      <c r="K21" s="422">
        <f t="shared" si="1"/>
        <v>1571.3000000000002</v>
      </c>
      <c r="O21" s="412"/>
      <c r="P21" s="413"/>
    </row>
    <row r="22" spans="1:18" x14ac:dyDescent="0.25">
      <c r="A22" s="202">
        <v>18</v>
      </c>
      <c r="B22" s="201" t="s">
        <v>336</v>
      </c>
      <c r="C22" s="201" t="s">
        <v>339</v>
      </c>
      <c r="D22" s="201" t="s">
        <v>44</v>
      </c>
      <c r="E22" s="201">
        <v>1101</v>
      </c>
      <c r="F22" s="242">
        <v>282.22000000000003</v>
      </c>
      <c r="G22" s="242">
        <v>635.09</v>
      </c>
      <c r="H22" s="242">
        <v>1175.06</v>
      </c>
      <c r="I22" s="242"/>
      <c r="J22" s="212">
        <f t="shared" si="3"/>
        <v>2092.37</v>
      </c>
      <c r="K22" s="422">
        <f t="shared" si="1"/>
        <v>2092.37</v>
      </c>
      <c r="O22" s="412"/>
      <c r="P22" s="413"/>
    </row>
    <row r="23" spans="1:18" x14ac:dyDescent="0.25">
      <c r="A23" s="202">
        <v>19</v>
      </c>
      <c r="B23" s="201" t="s">
        <v>342</v>
      </c>
      <c r="C23" s="201" t="s">
        <v>341</v>
      </c>
      <c r="D23" s="201" t="s">
        <v>44</v>
      </c>
      <c r="E23" s="201">
        <v>1101</v>
      </c>
      <c r="F23" s="242">
        <v>401.68</v>
      </c>
      <c r="G23" s="242">
        <v>793.86</v>
      </c>
      <c r="H23" s="242">
        <v>1433.56</v>
      </c>
      <c r="I23" s="242">
        <v>1000</v>
      </c>
      <c r="J23" s="212">
        <f t="shared" si="3"/>
        <v>2629.1</v>
      </c>
      <c r="K23" s="422">
        <f t="shared" si="1"/>
        <v>1629.1</v>
      </c>
      <c r="O23" s="412"/>
      <c r="P23" s="413"/>
    </row>
    <row r="24" spans="1:18" x14ac:dyDescent="0.25">
      <c r="A24" s="202">
        <v>20</v>
      </c>
      <c r="B24" s="201" t="s">
        <v>69</v>
      </c>
      <c r="C24" s="201" t="s">
        <v>70</v>
      </c>
      <c r="D24" s="201" t="s">
        <v>44</v>
      </c>
      <c r="E24" s="201">
        <v>1102</v>
      </c>
      <c r="F24" s="242">
        <v>117.25</v>
      </c>
      <c r="G24" s="242">
        <f>531.92/2</f>
        <v>265.95999999999998</v>
      </c>
      <c r="H24" s="242">
        <f>972.78/2</f>
        <v>486.39</v>
      </c>
      <c r="I24" s="242">
        <f>ROUND(1000*72.22%/2,0)</f>
        <v>361</v>
      </c>
      <c r="J24" s="212">
        <f t="shared" si="3"/>
        <v>869.59999999999991</v>
      </c>
      <c r="K24" s="422">
        <f t="shared" si="1"/>
        <v>508.59999999999991</v>
      </c>
      <c r="O24" s="412"/>
      <c r="P24" s="413"/>
    </row>
    <row r="25" spans="1:18" x14ac:dyDescent="0.25">
      <c r="A25" s="202"/>
      <c r="B25" s="201" t="s">
        <v>69</v>
      </c>
      <c r="C25" s="201" t="s">
        <v>70</v>
      </c>
      <c r="D25" s="201" t="s">
        <v>44</v>
      </c>
      <c r="E25" s="201">
        <v>1101</v>
      </c>
      <c r="F25" s="242">
        <v>117.25</v>
      </c>
      <c r="G25" s="242">
        <f>531.92/2</f>
        <v>265.95999999999998</v>
      </c>
      <c r="H25" s="242">
        <f>972.78/2</f>
        <v>486.39</v>
      </c>
      <c r="I25" s="242">
        <f>ROUND(1000*72.22%/2,0)</f>
        <v>361</v>
      </c>
      <c r="J25" s="212">
        <f t="shared" si="3"/>
        <v>869.59999999999991</v>
      </c>
      <c r="K25" s="422">
        <f t="shared" si="1"/>
        <v>508.59999999999991</v>
      </c>
      <c r="O25" s="412"/>
      <c r="P25" s="413"/>
    </row>
    <row r="26" spans="1:18" x14ac:dyDescent="0.25">
      <c r="A26" s="202">
        <v>21</v>
      </c>
      <c r="B26" s="201" t="s">
        <v>217</v>
      </c>
      <c r="C26" s="201" t="s">
        <v>218</v>
      </c>
      <c r="D26" s="201" t="s">
        <v>44</v>
      </c>
      <c r="E26" s="201">
        <v>1101</v>
      </c>
      <c r="F26" s="242">
        <v>208.8</v>
      </c>
      <c r="G26" s="242">
        <v>402.45</v>
      </c>
      <c r="H26" s="242">
        <v>745.16</v>
      </c>
      <c r="I26" s="242">
        <f>1000/2</f>
        <v>500</v>
      </c>
      <c r="J26" s="212">
        <f t="shared" si="3"/>
        <v>1356.4099999999999</v>
      </c>
      <c r="K26" s="422">
        <f t="shared" si="1"/>
        <v>856.40999999999985</v>
      </c>
      <c r="L26" s="203"/>
      <c r="M26" s="204"/>
      <c r="N26" s="205"/>
      <c r="O26" s="405"/>
      <c r="P26" s="406"/>
    </row>
    <row r="27" spans="1:18" s="512" customFormat="1" x14ac:dyDescent="0.25">
      <c r="A27" s="511">
        <v>22</v>
      </c>
      <c r="B27" s="512" t="s">
        <v>374</v>
      </c>
      <c r="C27" s="512" t="s">
        <v>375</v>
      </c>
      <c r="D27" s="512" t="s">
        <v>44</v>
      </c>
      <c r="E27" s="512">
        <v>1101</v>
      </c>
      <c r="F27" s="513"/>
      <c r="G27" s="513"/>
      <c r="H27" s="513"/>
      <c r="I27" s="513">
        <v>0</v>
      </c>
      <c r="J27" s="212">
        <f>SUM(F27:H27)</f>
        <v>0</v>
      </c>
      <c r="K27" s="422">
        <f t="shared" si="1"/>
        <v>0</v>
      </c>
      <c r="L27" s="652"/>
      <c r="M27" s="653"/>
      <c r="N27" s="654"/>
      <c r="O27" s="655"/>
      <c r="P27" s="656"/>
    </row>
    <row r="28" spans="1:18" x14ac:dyDescent="0.25">
      <c r="A28" s="202">
        <v>23</v>
      </c>
      <c r="B28" s="201" t="s">
        <v>55</v>
      </c>
      <c r="C28" s="201" t="s">
        <v>56</v>
      </c>
      <c r="D28" s="201" t="s">
        <v>44</v>
      </c>
      <c r="E28" s="201">
        <v>1101</v>
      </c>
      <c r="F28" s="242">
        <v>304.02</v>
      </c>
      <c r="G28" s="242">
        <v>576.51</v>
      </c>
      <c r="H28" s="242">
        <v>1051.5999999999999</v>
      </c>
      <c r="I28" s="242">
        <f>ROUND(1000*72.22%,0)</f>
        <v>722</v>
      </c>
      <c r="J28" s="212">
        <f t="shared" ref="J28:J52" si="4">SUM(F28:H28)</f>
        <v>1932.1299999999999</v>
      </c>
      <c r="K28" s="422">
        <f t="shared" si="1"/>
        <v>1210.1299999999999</v>
      </c>
      <c r="L28" s="203"/>
      <c r="M28" s="204"/>
      <c r="N28" s="205"/>
      <c r="O28" s="408"/>
      <c r="P28" s="406"/>
    </row>
    <row r="29" spans="1:18" x14ac:dyDescent="0.25">
      <c r="A29" s="202">
        <v>24</v>
      </c>
      <c r="B29" s="201" t="s">
        <v>247</v>
      </c>
      <c r="C29" s="201" t="s">
        <v>218</v>
      </c>
      <c r="D29" s="201" t="s">
        <v>44</v>
      </c>
      <c r="E29" s="201">
        <v>1101</v>
      </c>
      <c r="F29" s="242">
        <v>345.77</v>
      </c>
      <c r="G29" s="242">
        <v>774.02</v>
      </c>
      <c r="H29" s="242">
        <v>1317.64</v>
      </c>
      <c r="I29" s="242">
        <v>1000</v>
      </c>
      <c r="J29" s="212">
        <f t="shared" si="4"/>
        <v>2437.4300000000003</v>
      </c>
      <c r="K29" s="422">
        <f t="shared" si="1"/>
        <v>1437.4300000000003</v>
      </c>
      <c r="L29" s="203"/>
      <c r="M29" s="204"/>
      <c r="N29" s="205"/>
      <c r="O29" s="408"/>
      <c r="P29" s="406"/>
    </row>
    <row r="30" spans="1:18" x14ac:dyDescent="0.25">
      <c r="A30" s="202">
        <v>25</v>
      </c>
      <c r="B30" s="201" t="s">
        <v>298</v>
      </c>
      <c r="C30" s="201" t="s">
        <v>295</v>
      </c>
      <c r="D30" s="201" t="s">
        <v>44</v>
      </c>
      <c r="E30" s="201">
        <v>1101</v>
      </c>
      <c r="F30" s="242">
        <v>195.54</v>
      </c>
      <c r="G30" s="242">
        <v>402.45</v>
      </c>
      <c r="H30" s="242">
        <v>745.16</v>
      </c>
      <c r="I30" s="242">
        <f>1000/2</f>
        <v>500</v>
      </c>
      <c r="J30" s="212">
        <f t="shared" si="4"/>
        <v>1343.15</v>
      </c>
      <c r="K30" s="422">
        <f t="shared" si="1"/>
        <v>843.15000000000009</v>
      </c>
      <c r="M30" s="204"/>
      <c r="N30" s="205"/>
      <c r="O30" s="205"/>
      <c r="P30" s="406"/>
      <c r="R30" s="407"/>
    </row>
    <row r="31" spans="1:18" x14ac:dyDescent="0.25">
      <c r="A31" s="202">
        <v>26</v>
      </c>
      <c r="B31" s="201" t="s">
        <v>365</v>
      </c>
      <c r="C31" s="201" t="s">
        <v>366</v>
      </c>
      <c r="D31" s="201" t="s">
        <v>44</v>
      </c>
      <c r="E31" s="201">
        <v>1102</v>
      </c>
      <c r="F31" s="242">
        <v>200.18</v>
      </c>
      <c r="G31" s="242">
        <v>467.5</v>
      </c>
      <c r="H31" s="242">
        <v>865.54</v>
      </c>
      <c r="I31" s="242">
        <f>ROUND(1000/365*212,0)</f>
        <v>581</v>
      </c>
      <c r="J31" s="212">
        <f t="shared" si="4"/>
        <v>1533.22</v>
      </c>
      <c r="K31" s="422">
        <f t="shared" si="1"/>
        <v>952.22</v>
      </c>
      <c r="M31" s="204"/>
      <c r="N31" s="205"/>
      <c r="O31" s="205"/>
      <c r="P31" s="406"/>
      <c r="R31" s="407"/>
    </row>
    <row r="32" spans="1:18" x14ac:dyDescent="0.25">
      <c r="A32" s="202">
        <v>27</v>
      </c>
      <c r="B32" s="201" t="s">
        <v>77</v>
      </c>
      <c r="C32" s="201" t="s">
        <v>78</v>
      </c>
      <c r="D32" s="201" t="s">
        <v>44</v>
      </c>
      <c r="E32" s="201">
        <v>1101</v>
      </c>
      <c r="F32" s="242">
        <v>424.22</v>
      </c>
      <c r="G32" s="242">
        <v>804.89</v>
      </c>
      <c r="H32" s="242">
        <v>1490.32</v>
      </c>
      <c r="I32" s="242">
        <v>1000</v>
      </c>
      <c r="J32" s="212">
        <f t="shared" si="4"/>
        <v>2719.4300000000003</v>
      </c>
      <c r="K32" s="422">
        <f t="shared" si="1"/>
        <v>1719.4300000000003</v>
      </c>
      <c r="O32" s="412"/>
      <c r="P32" s="413"/>
    </row>
    <row r="33" spans="1:18" x14ac:dyDescent="0.25">
      <c r="A33" s="202">
        <v>28</v>
      </c>
      <c r="B33" s="201" t="s">
        <v>337</v>
      </c>
      <c r="C33" s="201" t="s">
        <v>304</v>
      </c>
      <c r="D33" s="201" t="s">
        <v>44</v>
      </c>
      <c r="E33" s="201">
        <v>1101</v>
      </c>
      <c r="F33" s="242">
        <v>414.38</v>
      </c>
      <c r="G33" s="242">
        <v>802.68</v>
      </c>
      <c r="H33" s="242">
        <v>1478.88</v>
      </c>
      <c r="I33" s="242">
        <v>1000</v>
      </c>
      <c r="J33" s="212">
        <f t="shared" si="4"/>
        <v>2695.94</v>
      </c>
      <c r="K33" s="422">
        <f t="shared" si="1"/>
        <v>1695.94</v>
      </c>
      <c r="M33" s="204"/>
      <c r="N33" s="205"/>
      <c r="O33" s="205"/>
      <c r="P33" s="406"/>
      <c r="R33" s="407"/>
    </row>
    <row r="34" spans="1:18" x14ac:dyDescent="0.25">
      <c r="A34" s="202">
        <v>29</v>
      </c>
      <c r="B34" s="201" t="s">
        <v>109</v>
      </c>
      <c r="C34" s="201" t="s">
        <v>110</v>
      </c>
      <c r="D34" s="201" t="s">
        <v>172</v>
      </c>
      <c r="E34" s="201">
        <v>1102</v>
      </c>
      <c r="F34" s="242">
        <v>438.53</v>
      </c>
      <c r="G34" s="242">
        <v>870.99</v>
      </c>
      <c r="H34" s="242">
        <v>1596.72</v>
      </c>
      <c r="I34" s="242">
        <v>1000</v>
      </c>
      <c r="J34" s="212">
        <f t="shared" si="4"/>
        <v>2906.24</v>
      </c>
      <c r="K34" s="422">
        <f t="shared" si="1"/>
        <v>1906.2399999999998</v>
      </c>
      <c r="L34" s="203"/>
      <c r="M34" s="204"/>
      <c r="N34" s="205"/>
      <c r="O34" s="405"/>
      <c r="P34" s="406"/>
    </row>
    <row r="35" spans="1:18" x14ac:dyDescent="0.25">
      <c r="A35" s="202">
        <v>30</v>
      </c>
      <c r="B35" s="201" t="s">
        <v>63</v>
      </c>
      <c r="C35" s="201" t="s">
        <v>64</v>
      </c>
      <c r="D35" s="201" t="s">
        <v>172</v>
      </c>
      <c r="E35" s="201">
        <v>1101</v>
      </c>
      <c r="F35" s="242">
        <v>465.19</v>
      </c>
      <c r="G35" s="242">
        <v>873.39</v>
      </c>
      <c r="H35" s="242">
        <v>1609.14</v>
      </c>
      <c r="I35" s="242">
        <v>1000</v>
      </c>
      <c r="J35" s="212">
        <f t="shared" si="4"/>
        <v>2947.7200000000003</v>
      </c>
      <c r="K35" s="422">
        <f t="shared" si="1"/>
        <v>1947.7200000000003</v>
      </c>
      <c r="L35" s="203"/>
      <c r="M35" s="204"/>
      <c r="N35" s="205"/>
      <c r="O35" s="408"/>
      <c r="P35" s="406"/>
      <c r="R35" s="407"/>
    </row>
    <row r="36" spans="1:18" x14ac:dyDescent="0.25">
      <c r="A36" s="202">
        <v>31</v>
      </c>
      <c r="B36" s="201" t="s">
        <v>296</v>
      </c>
      <c r="C36" s="201" t="s">
        <v>137</v>
      </c>
      <c r="D36" s="201" t="s">
        <v>172</v>
      </c>
      <c r="E36" s="201">
        <v>1102</v>
      </c>
      <c r="F36" s="242">
        <v>397.68</v>
      </c>
      <c r="G36" s="242">
        <v>866.19</v>
      </c>
      <c r="H36" s="242">
        <v>1572.08</v>
      </c>
      <c r="I36" s="242">
        <v>1000</v>
      </c>
      <c r="J36" s="212">
        <f t="shared" si="4"/>
        <v>2835.95</v>
      </c>
      <c r="K36" s="422">
        <f t="shared" si="1"/>
        <v>1835.9499999999998</v>
      </c>
      <c r="L36" s="203"/>
      <c r="M36" s="204"/>
      <c r="N36" s="205"/>
      <c r="O36" s="405"/>
      <c r="P36" s="406"/>
    </row>
    <row r="37" spans="1:18" x14ac:dyDescent="0.25">
      <c r="A37" s="202">
        <v>32</v>
      </c>
      <c r="B37" s="201" t="s">
        <v>307</v>
      </c>
      <c r="C37" s="201" t="s">
        <v>64</v>
      </c>
      <c r="D37" s="201" t="s">
        <v>172</v>
      </c>
      <c r="E37" s="201">
        <v>1102</v>
      </c>
      <c r="F37" s="242">
        <v>128.01</v>
      </c>
      <c r="G37" s="242">
        <v>585.04</v>
      </c>
      <c r="H37" s="242">
        <v>933.06</v>
      </c>
      <c r="I37" s="242"/>
      <c r="J37" s="212">
        <f t="shared" si="4"/>
        <v>1646.11</v>
      </c>
      <c r="K37" s="422">
        <f t="shared" si="1"/>
        <v>1646.11</v>
      </c>
      <c r="O37" s="412"/>
      <c r="P37" s="413"/>
    </row>
    <row r="38" spans="1:18" x14ac:dyDescent="0.25">
      <c r="A38" s="202">
        <v>33</v>
      </c>
      <c r="B38" s="201" t="s">
        <v>303</v>
      </c>
      <c r="C38" s="201" t="s">
        <v>304</v>
      </c>
      <c r="D38" s="201" t="s">
        <v>172</v>
      </c>
      <c r="E38" s="201">
        <v>1102</v>
      </c>
      <c r="F38" s="242">
        <v>401.23</v>
      </c>
      <c r="G38" s="242">
        <v>873.39</v>
      </c>
      <c r="H38" s="242">
        <v>1609.14</v>
      </c>
      <c r="I38" s="242">
        <v>1000</v>
      </c>
      <c r="J38" s="212">
        <f t="shared" si="4"/>
        <v>2883.76</v>
      </c>
      <c r="K38" s="422">
        <f t="shared" si="1"/>
        <v>1883.7600000000002</v>
      </c>
      <c r="O38" s="412"/>
      <c r="P38" s="413"/>
    </row>
    <row r="39" spans="1:18" x14ac:dyDescent="0.25">
      <c r="A39" s="202">
        <v>34</v>
      </c>
      <c r="B39" s="201" t="s">
        <v>99</v>
      </c>
      <c r="C39" s="201" t="s">
        <v>64</v>
      </c>
      <c r="D39" s="201" t="s">
        <v>172</v>
      </c>
      <c r="E39" s="201">
        <v>1102</v>
      </c>
      <c r="F39" s="242">
        <v>445.36</v>
      </c>
      <c r="G39" s="242">
        <v>875.79</v>
      </c>
      <c r="H39" s="242">
        <v>1621.58</v>
      </c>
      <c r="I39" s="242">
        <v>1000</v>
      </c>
      <c r="J39" s="212">
        <f t="shared" si="4"/>
        <v>2942.73</v>
      </c>
      <c r="K39" s="422">
        <f t="shared" si="1"/>
        <v>1942.73</v>
      </c>
      <c r="L39" s="203"/>
      <c r="M39" s="204"/>
      <c r="N39" s="205"/>
      <c r="O39" s="405"/>
      <c r="P39" s="406"/>
    </row>
    <row r="40" spans="1:18" x14ac:dyDescent="0.25">
      <c r="A40" s="202">
        <v>35</v>
      </c>
      <c r="B40" s="201" t="s">
        <v>86</v>
      </c>
      <c r="C40" s="201" t="s">
        <v>87</v>
      </c>
      <c r="D40" s="201" t="s">
        <v>172</v>
      </c>
      <c r="E40" s="201">
        <v>1101</v>
      </c>
      <c r="F40" s="242">
        <v>366.31</v>
      </c>
      <c r="G40" s="242">
        <v>727.02</v>
      </c>
      <c r="H40" s="242">
        <v>1322.45</v>
      </c>
      <c r="I40" s="242">
        <v>1000</v>
      </c>
      <c r="J40" s="212">
        <f t="shared" si="4"/>
        <v>2415.7799999999997</v>
      </c>
      <c r="K40" s="422">
        <f t="shared" si="1"/>
        <v>1415.7799999999997</v>
      </c>
      <c r="L40" s="203"/>
      <c r="M40" s="204"/>
      <c r="N40" s="205"/>
      <c r="O40" s="405"/>
      <c r="P40" s="406"/>
    </row>
    <row r="41" spans="1:18" x14ac:dyDescent="0.25">
      <c r="A41" s="202">
        <v>36</v>
      </c>
      <c r="B41" s="201" t="s">
        <v>100</v>
      </c>
      <c r="C41" s="201" t="s">
        <v>105</v>
      </c>
      <c r="D41" s="201" t="s">
        <v>172</v>
      </c>
      <c r="E41" s="201">
        <v>1101</v>
      </c>
      <c r="F41" s="242">
        <v>454.49</v>
      </c>
      <c r="G41" s="242">
        <v>866.19</v>
      </c>
      <c r="H41" s="242">
        <v>1572.08</v>
      </c>
      <c r="I41" s="242">
        <v>1000</v>
      </c>
      <c r="J41" s="212">
        <f t="shared" si="4"/>
        <v>2892.76</v>
      </c>
      <c r="K41" s="422">
        <f t="shared" si="1"/>
        <v>1892.7600000000002</v>
      </c>
      <c r="L41" s="203"/>
      <c r="M41" s="204"/>
      <c r="N41" s="205"/>
      <c r="O41" s="405"/>
      <c r="P41" s="406"/>
    </row>
    <row r="42" spans="1:18" x14ac:dyDescent="0.25">
      <c r="A42" s="202">
        <v>37</v>
      </c>
      <c r="B42" s="201" t="s">
        <v>89</v>
      </c>
      <c r="C42" s="201" t="s">
        <v>90</v>
      </c>
      <c r="D42" s="201" t="s">
        <v>172</v>
      </c>
      <c r="E42" s="201">
        <v>1102</v>
      </c>
      <c r="F42" s="242">
        <v>381.78</v>
      </c>
      <c r="G42" s="242">
        <v>763.73</v>
      </c>
      <c r="H42" s="242">
        <v>1390.1</v>
      </c>
      <c r="I42" s="242">
        <v>1000</v>
      </c>
      <c r="J42" s="212">
        <f t="shared" si="4"/>
        <v>2535.6099999999997</v>
      </c>
      <c r="K42" s="422">
        <f t="shared" si="1"/>
        <v>1535.6099999999997</v>
      </c>
      <c r="L42" s="203"/>
      <c r="M42" s="204"/>
      <c r="N42" s="205"/>
      <c r="O42" s="405"/>
      <c r="P42" s="406"/>
    </row>
    <row r="43" spans="1:18" x14ac:dyDescent="0.25">
      <c r="A43" s="202">
        <v>38</v>
      </c>
      <c r="B43" s="201" t="s">
        <v>275</v>
      </c>
      <c r="C43" s="201" t="s">
        <v>276</v>
      </c>
      <c r="D43" s="201" t="s">
        <v>172</v>
      </c>
      <c r="E43" s="201">
        <v>1102</v>
      </c>
      <c r="F43" s="242">
        <v>361.85</v>
      </c>
      <c r="G43" s="242">
        <v>693.33</v>
      </c>
      <c r="H43" s="242">
        <v>1283.74</v>
      </c>
      <c r="I43" s="242">
        <v>1000</v>
      </c>
      <c r="J43" s="212">
        <f t="shared" si="4"/>
        <v>2338.92</v>
      </c>
      <c r="K43" s="422">
        <f t="shared" si="1"/>
        <v>1338.92</v>
      </c>
      <c r="M43" s="204"/>
      <c r="N43" s="205"/>
      <c r="O43" s="205"/>
      <c r="P43" s="406"/>
      <c r="R43" s="407"/>
    </row>
    <row r="44" spans="1:18" x14ac:dyDescent="0.25">
      <c r="A44" s="202">
        <v>39</v>
      </c>
      <c r="B44" s="201" t="s">
        <v>92</v>
      </c>
      <c r="C44" s="201" t="s">
        <v>93</v>
      </c>
      <c r="D44" s="201" t="s">
        <v>172</v>
      </c>
      <c r="E44" s="201">
        <v>1101</v>
      </c>
      <c r="F44" s="242">
        <v>416.91</v>
      </c>
      <c r="G44" s="242">
        <v>540.66999999999996</v>
      </c>
      <c r="H44" s="242">
        <v>1460.34</v>
      </c>
      <c r="I44" s="242"/>
      <c r="J44" s="212">
        <f t="shared" si="4"/>
        <v>2417.92</v>
      </c>
      <c r="K44" s="422">
        <f t="shared" si="1"/>
        <v>2417.92</v>
      </c>
      <c r="L44" s="198"/>
      <c r="M44" s="198"/>
      <c r="N44" s="416"/>
      <c r="O44" s="417"/>
      <c r="P44" s="418"/>
    </row>
    <row r="45" spans="1:18" x14ac:dyDescent="0.25">
      <c r="A45" s="202">
        <v>40</v>
      </c>
      <c r="B45" s="201" t="s">
        <v>75</v>
      </c>
      <c r="C45" s="201" t="s">
        <v>76</v>
      </c>
      <c r="D45" s="201" t="s">
        <v>172</v>
      </c>
      <c r="E45" s="201">
        <v>1101</v>
      </c>
      <c r="F45" s="242">
        <v>187.56</v>
      </c>
      <c r="G45" s="242">
        <f>736.62/2</f>
        <v>368.31</v>
      </c>
      <c r="H45" s="242">
        <f>1365.88/2</f>
        <v>682.94</v>
      </c>
      <c r="I45" s="242"/>
      <c r="J45" s="212">
        <f t="shared" si="4"/>
        <v>1238.81</v>
      </c>
      <c r="K45" s="422">
        <f t="shared" si="1"/>
        <v>1238.81</v>
      </c>
      <c r="L45" s="198"/>
      <c r="M45" s="210"/>
      <c r="N45" s="198"/>
      <c r="O45" s="414"/>
      <c r="P45" s="415"/>
    </row>
    <row r="46" spans="1:18" x14ac:dyDescent="0.25">
      <c r="A46" s="202"/>
      <c r="B46" s="201" t="s">
        <v>75</v>
      </c>
      <c r="C46" s="201" t="s">
        <v>76</v>
      </c>
      <c r="D46" s="201" t="s">
        <v>172</v>
      </c>
      <c r="E46" s="201">
        <v>1102</v>
      </c>
      <c r="F46" s="242">
        <v>187.56</v>
      </c>
      <c r="G46" s="242">
        <f>736.62/2</f>
        <v>368.31</v>
      </c>
      <c r="H46" s="242">
        <f>1365.88/2</f>
        <v>682.94</v>
      </c>
      <c r="I46" s="242"/>
      <c r="J46" s="212">
        <f t="shared" si="4"/>
        <v>1238.81</v>
      </c>
      <c r="K46" s="422">
        <f t="shared" si="1"/>
        <v>1238.81</v>
      </c>
      <c r="L46" s="198"/>
      <c r="M46" s="210"/>
      <c r="N46" s="198"/>
      <c r="O46" s="414"/>
      <c r="P46" s="415"/>
    </row>
    <row r="47" spans="1:18" x14ac:dyDescent="0.25">
      <c r="A47" s="202">
        <v>41</v>
      </c>
      <c r="B47" s="201" t="s">
        <v>94</v>
      </c>
      <c r="C47" s="201" t="s">
        <v>95</v>
      </c>
      <c r="D47" s="201" t="s">
        <v>172</v>
      </c>
      <c r="E47" s="201">
        <v>1102</v>
      </c>
      <c r="F47" s="242">
        <v>415.03</v>
      </c>
      <c r="G47" s="242">
        <v>851.8</v>
      </c>
      <c r="H47" s="242">
        <v>1511.16</v>
      </c>
      <c r="I47" s="242">
        <v>1000</v>
      </c>
      <c r="J47" s="212">
        <f t="shared" si="4"/>
        <v>2777.99</v>
      </c>
      <c r="K47" s="422">
        <f t="shared" si="1"/>
        <v>1777.9899999999998</v>
      </c>
      <c r="L47" s="198"/>
      <c r="M47" s="198"/>
      <c r="N47" s="419"/>
      <c r="O47" s="420"/>
      <c r="P47" s="421"/>
    </row>
    <row r="48" spans="1:18" x14ac:dyDescent="0.25">
      <c r="A48" s="202">
        <v>42</v>
      </c>
      <c r="B48" s="201" t="s">
        <v>96</v>
      </c>
      <c r="C48" s="201" t="s">
        <v>97</v>
      </c>
      <c r="D48" s="201" t="s">
        <v>172</v>
      </c>
      <c r="E48" s="201">
        <v>1102</v>
      </c>
      <c r="F48" s="242">
        <v>415.05</v>
      </c>
      <c r="G48" s="242">
        <v>849.4</v>
      </c>
      <c r="H48" s="242">
        <v>1511.24</v>
      </c>
      <c r="I48" s="242">
        <v>1000</v>
      </c>
      <c r="J48" s="212">
        <f t="shared" si="4"/>
        <v>2775.69</v>
      </c>
      <c r="K48" s="422">
        <f t="shared" si="1"/>
        <v>1775.69</v>
      </c>
      <c r="L48" s="409"/>
      <c r="M48" s="410"/>
      <c r="N48" s="205"/>
      <c r="O48" s="405"/>
      <c r="P48" s="411"/>
    </row>
    <row r="49" spans="1:16" x14ac:dyDescent="0.25">
      <c r="A49" s="202">
        <v>43</v>
      </c>
      <c r="B49" s="201" t="s">
        <v>107</v>
      </c>
      <c r="C49" s="201" t="s">
        <v>108</v>
      </c>
      <c r="D49" s="201" t="s">
        <v>172</v>
      </c>
      <c r="E49" s="201">
        <v>1102</v>
      </c>
      <c r="F49" s="242">
        <v>445.36</v>
      </c>
      <c r="G49" s="242">
        <v>875.79</v>
      </c>
      <c r="H49" s="242">
        <v>1621.58</v>
      </c>
      <c r="I49" s="242">
        <v>1000</v>
      </c>
      <c r="J49" s="212">
        <f t="shared" si="4"/>
        <v>2942.73</v>
      </c>
      <c r="K49" s="422">
        <f t="shared" si="1"/>
        <v>1942.73</v>
      </c>
      <c r="L49" s="409"/>
      <c r="M49" s="410"/>
      <c r="N49" s="205"/>
      <c r="O49" s="405"/>
      <c r="P49" s="411"/>
    </row>
    <row r="50" spans="1:16" x14ac:dyDescent="0.25">
      <c r="A50" s="202">
        <v>44</v>
      </c>
      <c r="B50" s="201" t="s">
        <v>82</v>
      </c>
      <c r="C50" s="201" t="s">
        <v>83</v>
      </c>
      <c r="D50" s="201" t="s">
        <v>174</v>
      </c>
      <c r="E50" s="201">
        <v>1101</v>
      </c>
      <c r="F50" s="242">
        <v>534.89</v>
      </c>
      <c r="G50" s="242">
        <v>1004.24</v>
      </c>
      <c r="H50" s="242">
        <v>1850.2</v>
      </c>
      <c r="I50" s="242">
        <v>1000</v>
      </c>
      <c r="J50" s="212">
        <f t="shared" si="4"/>
        <v>3389.33</v>
      </c>
      <c r="K50" s="422">
        <f t="shared" si="1"/>
        <v>2389.33</v>
      </c>
      <c r="L50" s="409"/>
      <c r="M50" s="410"/>
      <c r="N50" s="205"/>
      <c r="O50" s="405"/>
      <c r="P50" s="411"/>
    </row>
    <row r="51" spans="1:16" x14ac:dyDescent="0.25">
      <c r="A51" s="202">
        <v>45</v>
      </c>
      <c r="B51" s="201" t="s">
        <v>51</v>
      </c>
      <c r="C51" s="201" t="s">
        <v>52</v>
      </c>
      <c r="D51" s="201" t="s">
        <v>174</v>
      </c>
      <c r="E51" s="201">
        <v>1101</v>
      </c>
      <c r="F51" s="242">
        <v>502.08</v>
      </c>
      <c r="G51" s="242">
        <v>993.2</v>
      </c>
      <c r="H51" s="242">
        <v>1789.84</v>
      </c>
      <c r="I51" s="242">
        <v>1000</v>
      </c>
      <c r="J51" s="212">
        <f t="shared" si="4"/>
        <v>3285.12</v>
      </c>
      <c r="K51" s="422">
        <f t="shared" si="1"/>
        <v>2285.12</v>
      </c>
      <c r="L51" s="409"/>
      <c r="M51" s="410"/>
      <c r="N51" s="205"/>
      <c r="O51" s="405"/>
      <c r="P51" s="411"/>
    </row>
    <row r="52" spans="1:16" x14ac:dyDescent="0.25">
      <c r="A52" s="202">
        <v>46</v>
      </c>
      <c r="B52" s="201" t="s">
        <v>100</v>
      </c>
      <c r="C52" s="201" t="s">
        <v>101</v>
      </c>
      <c r="D52" s="201" t="s">
        <v>174</v>
      </c>
      <c r="E52" s="201">
        <v>1102</v>
      </c>
      <c r="F52" s="242">
        <v>526.66</v>
      </c>
      <c r="G52" s="242">
        <v>998.72</v>
      </c>
      <c r="H52" s="242">
        <v>1821.76</v>
      </c>
      <c r="I52" s="242">
        <v>1000</v>
      </c>
      <c r="J52" s="212">
        <f t="shared" si="4"/>
        <v>3347.1400000000003</v>
      </c>
      <c r="K52" s="422">
        <f t="shared" si="1"/>
        <v>2347.1400000000003</v>
      </c>
      <c r="L52" s="409"/>
      <c r="M52" s="410"/>
      <c r="N52" s="205"/>
      <c r="O52" s="405"/>
      <c r="P52" s="411"/>
    </row>
    <row r="53" spans="1:16" x14ac:dyDescent="0.25">
      <c r="A53" s="202"/>
      <c r="K53" s="427"/>
      <c r="L53" s="409"/>
      <c r="M53" s="410"/>
      <c r="N53" s="205"/>
      <c r="O53" s="405"/>
      <c r="P53" s="411"/>
    </row>
    <row r="54" spans="1:16" s="211" customFormat="1" x14ac:dyDescent="0.25">
      <c r="A54" s="198"/>
      <c r="F54" s="422">
        <f t="shared" ref="F54:K54" si="5">SUM(F4:F53)</f>
        <v>15813.990000000002</v>
      </c>
      <c r="G54" s="422">
        <f t="shared" si="5"/>
        <v>31694.060000000009</v>
      </c>
      <c r="H54" s="422">
        <f t="shared" si="5"/>
        <v>57992.38</v>
      </c>
      <c r="I54" s="422">
        <f t="shared" si="5"/>
        <v>34608</v>
      </c>
      <c r="J54" s="422">
        <f t="shared" si="5"/>
        <v>105500.42999999996</v>
      </c>
      <c r="K54" s="422">
        <f t="shared" si="5"/>
        <v>70892.429999999993</v>
      </c>
      <c r="N54" s="423"/>
      <c r="O54" s="424"/>
      <c r="P54" s="425"/>
    </row>
    <row r="55" spans="1:16" x14ac:dyDescent="0.25">
      <c r="A55" s="426"/>
      <c r="B55" s="213"/>
      <c r="O55" s="412"/>
      <c r="P55" s="413"/>
    </row>
    <row r="56" spans="1:16" x14ac:dyDescent="0.25">
      <c r="A56" s="712" t="s">
        <v>178</v>
      </c>
      <c r="B56" s="712"/>
      <c r="C56" s="712"/>
      <c r="F56" s="212"/>
      <c r="O56" s="412"/>
      <c r="P56" s="413"/>
    </row>
    <row r="57" spans="1:16" s="211" customFormat="1" x14ac:dyDescent="0.25">
      <c r="A57" s="201"/>
      <c r="B57" s="201"/>
      <c r="C57" s="201"/>
      <c r="D57" s="427"/>
      <c r="E57" s="201"/>
      <c r="F57" s="201"/>
      <c r="G57" s="201"/>
      <c r="H57" s="201"/>
      <c r="I57" s="201"/>
      <c r="N57" s="423"/>
      <c r="O57" s="428"/>
      <c r="P57" s="429"/>
    </row>
    <row r="58" spans="1:16" ht="17.45" customHeight="1" x14ac:dyDescent="0.25">
      <c r="A58" s="213" t="s">
        <v>111</v>
      </c>
    </row>
    <row r="59" spans="1:16" ht="17.45" customHeight="1" x14ac:dyDescent="0.25">
      <c r="C59" s="201" t="s">
        <v>112</v>
      </c>
      <c r="E59" s="201" t="s">
        <v>113</v>
      </c>
    </row>
    <row r="60" spans="1:16" ht="17.45" customHeight="1" x14ac:dyDescent="0.25">
      <c r="B60" s="211">
        <v>1103</v>
      </c>
      <c r="C60" s="214">
        <f>K54</f>
        <v>70892.429999999993</v>
      </c>
      <c r="D60" s="214"/>
      <c r="E60" s="215"/>
      <c r="F60" s="215"/>
    </row>
    <row r="61" spans="1:16" ht="17.45" customHeight="1" x14ac:dyDescent="0.25">
      <c r="A61" s="202"/>
      <c r="B61" s="201" t="s">
        <v>239</v>
      </c>
      <c r="C61" s="216">
        <f>SUMIF($E$4:$E$52,"1101",K4:K52)</f>
        <v>41844.870000000003</v>
      </c>
      <c r="D61" s="216"/>
      <c r="E61" s="217">
        <f>ROUND((C61*23.8%),2)</f>
        <v>9959.08</v>
      </c>
      <c r="F61" s="216"/>
    </row>
    <row r="62" spans="1:16" ht="17.45" customHeight="1" x14ac:dyDescent="0.25">
      <c r="A62" s="202"/>
      <c r="B62" s="218" t="s">
        <v>240</v>
      </c>
      <c r="C62" s="216"/>
      <c r="D62" s="216"/>
      <c r="E62" s="217">
        <f>(C62*25.41%)</f>
        <v>0</v>
      </c>
      <c r="F62" s="216"/>
    </row>
    <row r="63" spans="1:16" ht="17.45" customHeight="1" x14ac:dyDescent="0.25">
      <c r="A63" s="219"/>
      <c r="B63" s="211" t="s">
        <v>224</v>
      </c>
      <c r="C63" s="208"/>
      <c r="D63" s="208"/>
      <c r="E63" s="220">
        <f>+E61+E62+C62</f>
        <v>9959.08</v>
      </c>
      <c r="F63" s="221"/>
    </row>
    <row r="64" spans="1:16" ht="17.45" customHeight="1" x14ac:dyDescent="0.25">
      <c r="A64" s="218"/>
      <c r="B64" s="218"/>
      <c r="C64" s="216"/>
      <c r="D64" s="216"/>
      <c r="E64" s="217"/>
      <c r="F64" s="216"/>
    </row>
    <row r="65" spans="1:6" ht="17.45" customHeight="1" x14ac:dyDescent="0.25">
      <c r="A65" s="218"/>
      <c r="B65" s="201" t="s">
        <v>225</v>
      </c>
      <c r="C65" s="216">
        <f>SUMIF($E$4:$E$52,"1102",K4:K52)</f>
        <v>29047.560000000005</v>
      </c>
      <c r="D65" s="216"/>
      <c r="E65" s="217">
        <f>C65*23.8%+K37*1.61%</f>
        <v>6939.8216510000011</v>
      </c>
      <c r="F65" s="216"/>
    </row>
    <row r="66" spans="1:6" ht="17.45" customHeight="1" x14ac:dyDescent="0.25">
      <c r="A66" s="218"/>
      <c r="B66" s="201" t="s">
        <v>226</v>
      </c>
      <c r="C66" s="208"/>
      <c r="D66" s="208"/>
      <c r="E66" s="217">
        <f>(C66*23.8%)</f>
        <v>0</v>
      </c>
      <c r="F66" s="216"/>
    </row>
    <row r="67" spans="1:6" ht="17.45" customHeight="1" x14ac:dyDescent="0.25">
      <c r="A67" s="219"/>
      <c r="B67" s="211" t="s">
        <v>227</v>
      </c>
      <c r="C67" s="208">
        <f>SUM(C65:C66)</f>
        <v>29047.560000000005</v>
      </c>
      <c r="D67" s="208"/>
      <c r="E67" s="220">
        <f>+E65+E66+C66</f>
        <v>6939.8216510000011</v>
      </c>
      <c r="F67" s="221"/>
    </row>
    <row r="68" spans="1:6" ht="17.45" customHeight="1" x14ac:dyDescent="0.25">
      <c r="A68" s="218"/>
      <c r="C68" s="208"/>
      <c r="D68" s="208"/>
      <c r="E68" s="208"/>
      <c r="F68" s="208"/>
    </row>
    <row r="69" spans="1:6" ht="17.45" customHeight="1" x14ac:dyDescent="0.25">
      <c r="A69" s="211" t="s">
        <v>114</v>
      </c>
      <c r="B69" s="211"/>
      <c r="C69" s="221">
        <f>E63+E67+C60</f>
        <v>87791.331650999986</v>
      </c>
      <c r="D69" s="221"/>
      <c r="E69" s="221"/>
      <c r="F69" s="221"/>
    </row>
    <row r="70" spans="1:6" ht="17.45" customHeight="1" x14ac:dyDescent="0.25">
      <c r="C70" s="208"/>
      <c r="D70" s="208"/>
      <c r="E70" s="208"/>
      <c r="F70" s="208"/>
    </row>
    <row r="71" spans="1:6" ht="17.45" customHeight="1" x14ac:dyDescent="0.25">
      <c r="B71" s="201">
        <v>1103</v>
      </c>
      <c r="C71" s="208">
        <f>C61+C65</f>
        <v>70892.430000000008</v>
      </c>
      <c r="D71" s="208"/>
      <c r="E71" s="208"/>
      <c r="F71" s="208"/>
    </row>
    <row r="72" spans="1:6" ht="17.45" customHeight="1" x14ac:dyDescent="0.3">
      <c r="A72" s="222"/>
      <c r="B72" s="222">
        <v>1101</v>
      </c>
      <c r="C72" s="223">
        <f>E63</f>
        <v>9959.08</v>
      </c>
      <c r="D72" s="223"/>
      <c r="E72" s="224"/>
      <c r="F72" s="224"/>
    </row>
    <row r="73" spans="1:6" ht="17.45" customHeight="1" x14ac:dyDescent="0.3">
      <c r="A73" s="222"/>
      <c r="B73" s="222">
        <v>1102</v>
      </c>
      <c r="C73" s="223">
        <f>E67</f>
        <v>6939.8216510000011</v>
      </c>
      <c r="D73" s="223"/>
      <c r="E73" s="223"/>
      <c r="F73" s="223"/>
    </row>
    <row r="74" spans="1:6" ht="17.45" customHeight="1" x14ac:dyDescent="0.25">
      <c r="A74" s="211" t="s">
        <v>159</v>
      </c>
      <c r="B74" s="211"/>
      <c r="C74" s="225">
        <f>SUM(C71:C73)</f>
        <v>87791.331651000015</v>
      </c>
      <c r="D74" s="225"/>
    </row>
    <row r="76" spans="1:6" x14ac:dyDescent="0.25">
      <c r="A76" s="213"/>
    </row>
    <row r="78" spans="1:6" x14ac:dyDescent="0.25">
      <c r="B78" s="211"/>
      <c r="C78" s="214"/>
      <c r="D78" s="214"/>
      <c r="E78" s="215"/>
    </row>
    <row r="79" spans="1:6" x14ac:dyDescent="0.25">
      <c r="A79" s="202"/>
      <c r="C79" s="216"/>
      <c r="D79" s="216"/>
      <c r="E79" s="217"/>
    </row>
    <row r="80" spans="1:6" x14ac:dyDescent="0.25">
      <c r="A80" s="202"/>
      <c r="B80" s="218"/>
      <c r="C80" s="216"/>
      <c r="D80" s="216"/>
      <c r="E80" s="217"/>
    </row>
    <row r="81" spans="1:5" x14ac:dyDescent="0.25">
      <c r="A81" s="219"/>
      <c r="B81" s="211"/>
      <c r="C81" s="208"/>
      <c r="D81" s="208"/>
      <c r="E81" s="220"/>
    </row>
    <row r="82" spans="1:5" x14ac:dyDescent="0.25">
      <c r="A82" s="218"/>
      <c r="B82" s="218"/>
      <c r="C82" s="216"/>
      <c r="D82" s="216"/>
      <c r="E82" s="217"/>
    </row>
    <row r="83" spans="1:5" x14ac:dyDescent="0.25">
      <c r="A83" s="218"/>
      <c r="C83" s="216"/>
      <c r="D83" s="216"/>
      <c r="E83" s="217"/>
    </row>
    <row r="84" spans="1:5" x14ac:dyDescent="0.25">
      <c r="A84" s="218"/>
      <c r="C84" s="208"/>
      <c r="D84" s="208"/>
      <c r="E84" s="217"/>
    </row>
    <row r="85" spans="1:5" x14ac:dyDescent="0.25">
      <c r="A85" s="219"/>
      <c r="B85" s="211"/>
      <c r="C85" s="208"/>
      <c r="D85" s="208"/>
      <c r="E85" s="220"/>
    </row>
    <row r="86" spans="1:5" x14ac:dyDescent="0.25">
      <c r="A86" s="218"/>
      <c r="C86" s="208"/>
      <c r="D86" s="208"/>
      <c r="E86" s="208"/>
    </row>
    <row r="87" spans="1:5" x14ac:dyDescent="0.25">
      <c r="A87" s="211"/>
      <c r="B87" s="211"/>
      <c r="C87" s="221"/>
      <c r="D87" s="221"/>
      <c r="E87" s="221"/>
    </row>
    <row r="88" spans="1:5" x14ac:dyDescent="0.25">
      <c r="C88" s="208"/>
      <c r="D88" s="208"/>
      <c r="E88" s="208"/>
    </row>
    <row r="89" spans="1:5" x14ac:dyDescent="0.25">
      <c r="C89" s="208"/>
      <c r="D89" s="208"/>
      <c r="E89" s="208"/>
    </row>
    <row r="90" spans="1:5" ht="18.75" x14ac:dyDescent="0.3">
      <c r="A90" s="222"/>
      <c r="B90" s="222"/>
      <c r="C90" s="223"/>
      <c r="D90" s="223"/>
      <c r="E90" s="224"/>
    </row>
    <row r="91" spans="1:5" ht="18.75" x14ac:dyDescent="0.3">
      <c r="A91" s="222"/>
      <c r="B91" s="222"/>
      <c r="C91" s="223"/>
      <c r="D91" s="223"/>
      <c r="E91" s="223"/>
    </row>
    <row r="92" spans="1:5" x14ac:dyDescent="0.25">
      <c r="A92" s="211"/>
      <c r="B92" s="211"/>
      <c r="C92" s="225"/>
      <c r="D92" s="225"/>
    </row>
  </sheetData>
  <mergeCells count="3">
    <mergeCell ref="A1:I1"/>
    <mergeCell ref="A2:I2"/>
    <mergeCell ref="A56:C56"/>
  </mergeCells>
  <phoneticPr fontId="7" type="noConversion"/>
  <printOptions gridLines="1"/>
  <pageMargins left="0" right="0" top="0.98425196850393704" bottom="0.15748031496062992" header="0.51181102362204722" footer="0.27559055118110237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94"/>
  <sheetViews>
    <sheetView zoomScaleNormal="100" workbookViewId="0">
      <selection activeCell="N50" sqref="N50"/>
    </sheetView>
  </sheetViews>
  <sheetFormatPr defaultRowHeight="12.75" x14ac:dyDescent="0.2"/>
  <cols>
    <col min="1" max="1" width="5" customWidth="1"/>
    <col min="2" max="2" width="16.5703125" bestFit="1" customWidth="1"/>
    <col min="3" max="3" width="15.5703125" customWidth="1"/>
    <col min="4" max="4" width="8.140625" customWidth="1"/>
    <col min="5" max="5" width="12.5703125" hidden="1" customWidth="1"/>
    <col min="6" max="6" width="11.85546875" hidden="1" customWidth="1"/>
    <col min="7" max="8" width="13.42578125" hidden="1" customWidth="1"/>
    <col min="9" max="9" width="12.7109375" customWidth="1"/>
    <col min="10" max="10" width="6.28515625" customWidth="1"/>
    <col min="11" max="11" width="7.140625" customWidth="1"/>
    <col min="12" max="12" width="5.28515625" customWidth="1"/>
    <col min="13" max="13" width="9.85546875" customWidth="1"/>
    <col min="14" max="14" width="0" hidden="1" customWidth="1"/>
    <col min="15" max="15" width="8.85546875" hidden="1" customWidth="1"/>
    <col min="16" max="16" width="9.42578125" style="1" bestFit="1" customWidth="1"/>
    <col min="17" max="17" width="8.5703125" style="76" customWidth="1"/>
    <col min="18" max="18" width="13.5703125" style="77" bestFit="1" customWidth="1"/>
    <col min="20" max="20" width="8.42578125" customWidth="1"/>
  </cols>
  <sheetData>
    <row r="1" spans="1:20" x14ac:dyDescent="0.2">
      <c r="A1" s="698" t="s">
        <v>241</v>
      </c>
      <c r="B1" s="698"/>
      <c r="C1" s="698"/>
      <c r="D1" s="698"/>
      <c r="E1" s="698"/>
      <c r="F1" s="698"/>
      <c r="G1" s="698"/>
      <c r="H1" s="698"/>
      <c r="I1" s="698"/>
      <c r="J1" s="5"/>
      <c r="K1" s="5"/>
      <c r="L1" s="5"/>
      <c r="M1" s="5"/>
      <c r="N1" s="5"/>
      <c r="O1" s="5"/>
      <c r="P1" s="5"/>
    </row>
    <row r="2" spans="1:20" ht="33" customHeight="1" x14ac:dyDescent="0.2">
      <c r="A2" s="26" t="s">
        <v>26</v>
      </c>
      <c r="B2" s="26" t="s">
        <v>27</v>
      </c>
      <c r="C2" s="26" t="s">
        <v>28</v>
      </c>
      <c r="D2" s="26"/>
      <c r="E2" s="26"/>
      <c r="F2" s="26" t="s">
        <v>148</v>
      </c>
      <c r="G2" s="26" t="s">
        <v>149</v>
      </c>
      <c r="H2" s="26" t="s">
        <v>150</v>
      </c>
      <c r="I2" s="26" t="s">
        <v>11</v>
      </c>
      <c r="J2" s="26"/>
      <c r="K2" s="26"/>
      <c r="L2" s="26"/>
      <c r="M2" s="27"/>
      <c r="N2" s="26"/>
      <c r="O2" s="27"/>
      <c r="P2" s="26"/>
      <c r="Q2" s="28"/>
      <c r="R2" s="29"/>
    </row>
    <row r="3" spans="1:20" ht="33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 t="s">
        <v>207</v>
      </c>
      <c r="K3" s="26" t="s">
        <v>206</v>
      </c>
      <c r="L3" s="26" t="s">
        <v>208</v>
      </c>
      <c r="M3" s="27" t="s">
        <v>183</v>
      </c>
      <c r="N3" s="26"/>
      <c r="O3" s="27"/>
      <c r="P3" s="50" t="s">
        <v>204</v>
      </c>
      <c r="Q3" s="50" t="s">
        <v>205</v>
      </c>
      <c r="R3" s="29"/>
    </row>
    <row r="4" spans="1:20" x14ac:dyDescent="0.2">
      <c r="A4" s="26"/>
      <c r="B4" s="30"/>
      <c r="C4" s="30"/>
      <c r="D4" s="30"/>
      <c r="E4" s="30"/>
      <c r="F4" s="30"/>
      <c r="G4" s="30"/>
      <c r="H4" s="30"/>
      <c r="I4" s="96"/>
      <c r="M4" s="96"/>
      <c r="N4" s="33"/>
      <c r="O4" s="34"/>
      <c r="P4" s="40"/>
      <c r="Q4" s="40"/>
      <c r="T4" s="37"/>
    </row>
    <row r="5" spans="1:20" s="118" customFormat="1" x14ac:dyDescent="0.2">
      <c r="A5" s="149">
        <v>91</v>
      </c>
      <c r="B5" s="150" t="s">
        <v>160</v>
      </c>
      <c r="C5" s="150" t="s">
        <v>161</v>
      </c>
      <c r="D5" s="150" t="s">
        <v>173</v>
      </c>
      <c r="E5" s="150">
        <v>1001</v>
      </c>
      <c r="F5" s="150"/>
      <c r="G5" s="150"/>
      <c r="H5" s="150"/>
      <c r="I5" s="151">
        <v>2003.61</v>
      </c>
      <c r="J5" s="118">
        <f>COUNTIF(I5,"&lt;=1539,47")</f>
        <v>0</v>
      </c>
      <c r="K5" s="118">
        <f>IF(J5+L5=0,1,0)</f>
        <v>1</v>
      </c>
      <c r="L5" s="118">
        <f>COUNTIF(I5,"&gt;=2309,20")</f>
        <v>0</v>
      </c>
      <c r="M5" s="151">
        <f>MAX(I5:I5)</f>
        <v>2003.61</v>
      </c>
      <c r="O5" s="152">
        <v>0.6</v>
      </c>
      <c r="P5" s="153">
        <f>M5*60%</f>
        <v>1202.1659999999999</v>
      </c>
      <c r="Q5" s="153">
        <f>M5*90%</f>
        <v>1803.249</v>
      </c>
      <c r="R5" s="154"/>
      <c r="T5" s="155"/>
    </row>
    <row r="6" spans="1:20" x14ac:dyDescent="0.2">
      <c r="A6" s="31"/>
      <c r="B6" s="30"/>
      <c r="C6" s="30"/>
      <c r="D6" s="30"/>
      <c r="E6" s="30"/>
      <c r="F6" s="30"/>
      <c r="G6" s="30"/>
      <c r="H6" s="30"/>
      <c r="I6" s="157"/>
      <c r="J6" s="3">
        <f>SUM(J5)</f>
        <v>0</v>
      </c>
      <c r="K6" s="3">
        <f>SUM(K5)</f>
        <v>1</v>
      </c>
      <c r="L6" s="3">
        <f>SUM(L5)</f>
        <v>0</v>
      </c>
      <c r="M6" s="157"/>
      <c r="O6" s="143"/>
      <c r="P6" s="40"/>
      <c r="Q6" s="40"/>
      <c r="R6" s="89"/>
      <c r="T6" s="37"/>
    </row>
    <row r="7" spans="1:20" x14ac:dyDescent="0.2">
      <c r="A7" s="31">
        <v>10001</v>
      </c>
      <c r="B7" s="30" t="s">
        <v>195</v>
      </c>
      <c r="C7" s="30" t="s">
        <v>196</v>
      </c>
      <c r="D7" s="30" t="s">
        <v>171</v>
      </c>
      <c r="E7" s="30">
        <v>1001</v>
      </c>
      <c r="F7" s="30"/>
      <c r="G7" s="30"/>
      <c r="H7" s="30"/>
      <c r="I7" s="96">
        <v>2043.63</v>
      </c>
      <c r="J7">
        <f>COUNTIF(I7,"&lt;=1695,34")</f>
        <v>0</v>
      </c>
      <c r="K7">
        <f t="shared" ref="K7:K53" si="0">IF(J7+L7=0,1,0)</f>
        <v>1</v>
      </c>
      <c r="L7">
        <f>COUNTIF(I7,"&gt;=2543")</f>
        <v>0</v>
      </c>
      <c r="N7" s="85"/>
      <c r="O7" s="143"/>
      <c r="P7" s="40"/>
      <c r="Q7" s="40"/>
      <c r="R7" s="79"/>
      <c r="T7" s="37"/>
    </row>
    <row r="8" spans="1:20" x14ac:dyDescent="0.2">
      <c r="A8" s="31">
        <v>3</v>
      </c>
      <c r="B8" s="30" t="s">
        <v>42</v>
      </c>
      <c r="C8" s="30" t="s">
        <v>43</v>
      </c>
      <c r="D8" s="30" t="s">
        <v>171</v>
      </c>
      <c r="E8" s="30">
        <v>1002</v>
      </c>
      <c r="F8" s="30"/>
      <c r="G8" s="30"/>
      <c r="H8" s="30"/>
      <c r="I8" s="96">
        <v>2055.4</v>
      </c>
      <c r="J8">
        <f>COUNTIF(I8,"&lt;=1695,34")</f>
        <v>0</v>
      </c>
      <c r="K8">
        <f t="shared" si="0"/>
        <v>1</v>
      </c>
      <c r="L8">
        <f>COUNTIF(I8,"&gt;=2543")</f>
        <v>0</v>
      </c>
      <c r="N8" s="85"/>
      <c r="Q8" s="78"/>
      <c r="R8" s="79"/>
    </row>
    <row r="9" spans="1:20" x14ac:dyDescent="0.2">
      <c r="A9" s="31">
        <v>12</v>
      </c>
      <c r="B9" s="30" t="s">
        <v>48</v>
      </c>
      <c r="C9" s="30" t="s">
        <v>49</v>
      </c>
      <c r="D9" s="30" t="s">
        <v>171</v>
      </c>
      <c r="E9" s="30">
        <v>1001</v>
      </c>
      <c r="F9" s="30"/>
      <c r="G9" s="30"/>
      <c r="H9" s="30"/>
      <c r="I9" s="96">
        <v>2045.78</v>
      </c>
      <c r="J9">
        <f>COUNTIF(I9,"&lt;=1695,34")</f>
        <v>0</v>
      </c>
      <c r="K9">
        <f t="shared" si="0"/>
        <v>1</v>
      </c>
      <c r="L9">
        <f>COUNTIF(I9,"&gt;=2543")</f>
        <v>0</v>
      </c>
      <c r="N9" s="85"/>
      <c r="O9" s="83"/>
      <c r="P9" s="40"/>
      <c r="Q9" s="78"/>
      <c r="R9" s="79"/>
      <c r="T9" s="37"/>
    </row>
    <row r="10" spans="1:20" s="118" customFormat="1" x14ac:dyDescent="0.2">
      <c r="A10" s="149">
        <v>44</v>
      </c>
      <c r="B10" s="150" t="s">
        <v>57</v>
      </c>
      <c r="C10" s="150" t="s">
        <v>58</v>
      </c>
      <c r="D10" s="150" t="s">
        <v>171</v>
      </c>
      <c r="E10" s="150">
        <v>1002</v>
      </c>
      <c r="F10" s="150"/>
      <c r="G10" s="150"/>
      <c r="H10" s="150"/>
      <c r="I10" s="151">
        <v>1974.92</v>
      </c>
      <c r="J10" s="118">
        <f>COUNTIF(I10,"&lt;=1695,34")</f>
        <v>0</v>
      </c>
      <c r="K10" s="118">
        <f t="shared" si="0"/>
        <v>1</v>
      </c>
      <c r="L10" s="118">
        <f>COUNTIF(I10,"&gt;=2543")</f>
        <v>0</v>
      </c>
      <c r="M10" s="151">
        <f>MAX(I7:I10)</f>
        <v>2055.4</v>
      </c>
      <c r="O10" s="152">
        <v>0.6</v>
      </c>
      <c r="P10" s="153">
        <f>M10*60%</f>
        <v>1233.24</v>
      </c>
      <c r="Q10" s="153">
        <f>M10*90%</f>
        <v>1849.8600000000001</v>
      </c>
      <c r="R10" s="154"/>
    </row>
    <row r="11" spans="1:20" x14ac:dyDescent="0.2">
      <c r="A11" s="31"/>
      <c r="B11" s="30"/>
      <c r="C11" s="30"/>
      <c r="D11" s="30"/>
      <c r="E11" s="30"/>
      <c r="F11" s="30"/>
      <c r="G11" s="30"/>
      <c r="H11" s="30"/>
      <c r="I11" s="157"/>
      <c r="J11" s="3">
        <f>SUM(J7:J10)</f>
        <v>0</v>
      </c>
      <c r="K11" s="3">
        <f>SUM(K7:K10)</f>
        <v>4</v>
      </c>
      <c r="L11" s="3">
        <f>SUM(L7:L10)</f>
        <v>0</v>
      </c>
      <c r="M11" s="157"/>
      <c r="O11" s="143"/>
      <c r="P11" s="40"/>
      <c r="Q11" s="40"/>
      <c r="R11" s="89"/>
    </row>
    <row r="12" spans="1:20" x14ac:dyDescent="0.2">
      <c r="A12" s="31">
        <v>22</v>
      </c>
      <c r="B12" s="30" t="s">
        <v>53</v>
      </c>
      <c r="C12" s="30" t="s">
        <v>54</v>
      </c>
      <c r="D12" s="30" t="s">
        <v>44</v>
      </c>
      <c r="E12" s="30">
        <v>1002</v>
      </c>
      <c r="F12" s="30"/>
      <c r="G12" s="30"/>
      <c r="H12" s="30"/>
      <c r="I12" s="96">
        <v>2315.83</v>
      </c>
      <c r="J12">
        <f>COUNTIF(I12,"&lt;=1828,11")</f>
        <v>0</v>
      </c>
      <c r="K12">
        <f t="shared" si="0"/>
        <v>1</v>
      </c>
      <c r="L12">
        <f>COUNTIF(I12,"&gt;=2742,17")</f>
        <v>0</v>
      </c>
      <c r="N12" s="85"/>
      <c r="O12" s="83"/>
      <c r="P12" s="40"/>
      <c r="Q12" s="81"/>
      <c r="R12" s="79"/>
    </row>
    <row r="13" spans="1:20" x14ac:dyDescent="0.2">
      <c r="A13" s="31">
        <v>4</v>
      </c>
      <c r="B13" s="30" t="s">
        <v>45</v>
      </c>
      <c r="C13" s="30" t="s">
        <v>46</v>
      </c>
      <c r="D13" s="30" t="s">
        <v>44</v>
      </c>
      <c r="E13" s="30">
        <v>1002</v>
      </c>
      <c r="F13" s="30"/>
      <c r="G13" s="30"/>
      <c r="H13" s="30"/>
      <c r="I13" s="96">
        <v>637.87</v>
      </c>
      <c r="J13">
        <f t="shared" ref="J13:J32" si="1">COUNTIF(I13,"&lt;=1828,11")</f>
        <v>1</v>
      </c>
      <c r="K13">
        <f t="shared" si="0"/>
        <v>0</v>
      </c>
      <c r="L13">
        <f t="shared" ref="L13:L32" si="2">COUNTIF(I13,"&gt;=2742,17")</f>
        <v>0</v>
      </c>
      <c r="N13" s="85"/>
      <c r="O13" s="83"/>
      <c r="P13" s="40"/>
      <c r="Q13" s="78"/>
      <c r="R13" s="79"/>
    </row>
    <row r="14" spans="1:20" x14ac:dyDescent="0.2">
      <c r="A14" s="31">
        <v>2</v>
      </c>
      <c r="B14" s="30" t="s">
        <v>38</v>
      </c>
      <c r="C14" s="30" t="s">
        <v>39</v>
      </c>
      <c r="D14" s="30" t="s">
        <v>44</v>
      </c>
      <c r="E14" s="30">
        <v>1002</v>
      </c>
      <c r="F14" s="30"/>
      <c r="G14" s="30"/>
      <c r="H14" s="30"/>
      <c r="I14" s="96">
        <v>2278.85</v>
      </c>
      <c r="J14">
        <f t="shared" si="1"/>
        <v>0</v>
      </c>
      <c r="K14">
        <f t="shared" si="0"/>
        <v>1</v>
      </c>
      <c r="L14">
        <f t="shared" si="2"/>
        <v>0</v>
      </c>
      <c r="N14" s="85"/>
      <c r="O14" s="83"/>
      <c r="P14" s="40"/>
      <c r="Q14" s="81"/>
      <c r="R14" s="79"/>
    </row>
    <row r="15" spans="1:20" x14ac:dyDescent="0.2">
      <c r="A15" s="31">
        <v>21</v>
      </c>
      <c r="B15" s="30" t="s">
        <v>71</v>
      </c>
      <c r="C15" s="30" t="s">
        <v>72</v>
      </c>
      <c r="D15" s="30" t="s">
        <v>44</v>
      </c>
      <c r="E15" s="30">
        <v>1001</v>
      </c>
      <c r="F15" s="30"/>
      <c r="G15" s="30"/>
      <c r="H15" s="30"/>
      <c r="I15" s="96">
        <v>2228.02</v>
      </c>
      <c r="J15">
        <f t="shared" si="1"/>
        <v>0</v>
      </c>
      <c r="K15">
        <f t="shared" si="0"/>
        <v>1</v>
      </c>
      <c r="L15">
        <f t="shared" si="2"/>
        <v>0</v>
      </c>
      <c r="N15" s="85"/>
      <c r="O15" s="83"/>
      <c r="P15" s="40"/>
      <c r="Q15" s="81"/>
      <c r="R15" s="79"/>
    </row>
    <row r="16" spans="1:20" x14ac:dyDescent="0.2">
      <c r="A16" s="31">
        <v>25</v>
      </c>
      <c r="B16" s="30" t="s">
        <v>73</v>
      </c>
      <c r="C16" s="30" t="s">
        <v>74</v>
      </c>
      <c r="D16" s="30" t="s">
        <v>44</v>
      </c>
      <c r="E16" s="30">
        <v>1001</v>
      </c>
      <c r="F16" s="30"/>
      <c r="G16" s="30"/>
      <c r="H16" s="30"/>
      <c r="I16" s="96">
        <f>1057.17*2</f>
        <v>2114.34</v>
      </c>
      <c r="J16">
        <f t="shared" si="1"/>
        <v>0</v>
      </c>
      <c r="K16">
        <f t="shared" si="0"/>
        <v>1</v>
      </c>
      <c r="L16">
        <f t="shared" si="2"/>
        <v>0</v>
      </c>
      <c r="N16" s="85"/>
      <c r="O16" s="83"/>
      <c r="P16" s="40"/>
      <c r="Q16" s="81"/>
      <c r="R16" s="79"/>
    </row>
    <row r="17" spans="1:18" x14ac:dyDescent="0.2">
      <c r="A17" s="31">
        <v>60</v>
      </c>
      <c r="B17" s="30" t="s">
        <v>75</v>
      </c>
      <c r="C17" s="30" t="s">
        <v>76</v>
      </c>
      <c r="D17" s="30" t="s">
        <v>44</v>
      </c>
      <c r="E17" s="30">
        <v>1001</v>
      </c>
      <c r="F17" s="30"/>
      <c r="G17" s="30"/>
      <c r="H17" s="30"/>
      <c r="I17" s="96">
        <v>0</v>
      </c>
      <c r="J17">
        <f t="shared" si="1"/>
        <v>1</v>
      </c>
      <c r="K17">
        <f t="shared" si="0"/>
        <v>0</v>
      </c>
      <c r="L17">
        <f t="shared" si="2"/>
        <v>0</v>
      </c>
      <c r="N17" s="85"/>
      <c r="O17" s="83"/>
      <c r="P17" s="40"/>
      <c r="Q17" s="81"/>
      <c r="R17" s="79"/>
    </row>
    <row r="18" spans="1:18" x14ac:dyDescent="0.2">
      <c r="A18" s="31">
        <v>62</v>
      </c>
      <c r="B18" s="30" t="s">
        <v>69</v>
      </c>
      <c r="C18" s="30" t="s">
        <v>70</v>
      </c>
      <c r="D18" s="30" t="s">
        <v>44</v>
      </c>
      <c r="E18" s="30">
        <v>1002</v>
      </c>
      <c r="F18" s="30"/>
      <c r="G18" s="30"/>
      <c r="H18" s="30"/>
      <c r="I18" s="96">
        <f>SUM(F18:H18)*2/83.33%*1</f>
        <v>0</v>
      </c>
      <c r="J18">
        <f t="shared" si="1"/>
        <v>1</v>
      </c>
      <c r="K18">
        <f t="shared" si="0"/>
        <v>0</v>
      </c>
      <c r="L18">
        <f t="shared" si="2"/>
        <v>0</v>
      </c>
      <c r="N18" s="85"/>
      <c r="O18" s="83"/>
      <c r="P18" s="40"/>
      <c r="Q18" s="81"/>
      <c r="R18" s="79"/>
    </row>
    <row r="19" spans="1:18" x14ac:dyDescent="0.2">
      <c r="A19" s="31">
        <v>63</v>
      </c>
      <c r="B19" s="30" t="s">
        <v>55</v>
      </c>
      <c r="C19" s="30" t="s">
        <v>56</v>
      </c>
      <c r="D19" s="30" t="s">
        <v>44</v>
      </c>
      <c r="E19" s="30">
        <v>1001</v>
      </c>
      <c r="F19" s="30"/>
      <c r="G19" s="30"/>
      <c r="H19" s="30"/>
      <c r="I19" s="96">
        <v>1919.08</v>
      </c>
      <c r="J19">
        <f t="shared" si="1"/>
        <v>0</v>
      </c>
      <c r="K19">
        <f t="shared" si="0"/>
        <v>1</v>
      </c>
      <c r="L19">
        <f t="shared" si="2"/>
        <v>0</v>
      </c>
      <c r="M19" s="32"/>
      <c r="N19" s="85"/>
      <c r="O19" s="83"/>
      <c r="P19" s="40"/>
      <c r="Q19" s="81"/>
      <c r="R19" s="79"/>
    </row>
    <row r="20" spans="1:18" x14ac:dyDescent="0.2">
      <c r="A20" s="31">
        <v>68</v>
      </c>
      <c r="B20" s="30" t="s">
        <v>77</v>
      </c>
      <c r="C20" s="30" t="s">
        <v>78</v>
      </c>
      <c r="D20" s="30" t="s">
        <v>44</v>
      </c>
      <c r="E20" s="30">
        <v>1001</v>
      </c>
      <c r="F20" s="30"/>
      <c r="G20" s="30"/>
      <c r="H20" s="30"/>
      <c r="I20" s="96">
        <v>2168.3200000000002</v>
      </c>
      <c r="J20">
        <f t="shared" si="1"/>
        <v>0</v>
      </c>
      <c r="K20">
        <f t="shared" si="0"/>
        <v>1</v>
      </c>
      <c r="L20">
        <f t="shared" si="2"/>
        <v>0</v>
      </c>
      <c r="M20" s="32"/>
      <c r="N20" s="85"/>
      <c r="O20" s="83"/>
      <c r="P20" s="40"/>
      <c r="Q20" s="81"/>
      <c r="R20" s="79"/>
    </row>
    <row r="21" spans="1:18" x14ac:dyDescent="0.2">
      <c r="A21" s="31">
        <v>69</v>
      </c>
      <c r="B21" s="30" t="s">
        <v>60</v>
      </c>
      <c r="C21" s="30" t="s">
        <v>61</v>
      </c>
      <c r="D21" s="30" t="s">
        <v>44</v>
      </c>
      <c r="E21" s="30">
        <v>1001</v>
      </c>
      <c r="F21" s="30"/>
      <c r="G21" s="30"/>
      <c r="H21" s="30"/>
      <c r="I21" s="96">
        <v>2303.73</v>
      </c>
      <c r="J21">
        <f t="shared" si="1"/>
        <v>0</v>
      </c>
      <c r="K21">
        <f t="shared" si="0"/>
        <v>1</v>
      </c>
      <c r="L21">
        <f t="shared" si="2"/>
        <v>0</v>
      </c>
      <c r="M21" s="32"/>
      <c r="N21" s="85"/>
      <c r="O21" s="83"/>
      <c r="P21" s="40"/>
      <c r="Q21" s="81"/>
      <c r="R21" s="79"/>
    </row>
    <row r="22" spans="1:18" x14ac:dyDescent="0.2">
      <c r="A22" s="31">
        <v>73</v>
      </c>
      <c r="B22" s="30" t="s">
        <v>81</v>
      </c>
      <c r="C22" s="30" t="s">
        <v>80</v>
      </c>
      <c r="D22" s="30" t="s">
        <v>44</v>
      </c>
      <c r="E22" s="30">
        <v>1001</v>
      </c>
      <c r="F22" s="30"/>
      <c r="G22" s="30"/>
      <c r="H22" s="30"/>
      <c r="I22" s="96">
        <v>1061.81</v>
      </c>
      <c r="J22">
        <f t="shared" si="1"/>
        <v>1</v>
      </c>
      <c r="K22">
        <f t="shared" si="0"/>
        <v>0</v>
      </c>
      <c r="L22">
        <f t="shared" si="2"/>
        <v>0</v>
      </c>
      <c r="M22" s="32"/>
      <c r="N22" s="85"/>
      <c r="O22" s="83"/>
      <c r="P22" s="40"/>
      <c r="Q22" s="81"/>
      <c r="R22" s="79"/>
    </row>
    <row r="23" spans="1:18" x14ac:dyDescent="0.2">
      <c r="A23" s="31">
        <v>77</v>
      </c>
      <c r="B23" s="30" t="s">
        <v>79</v>
      </c>
      <c r="C23" s="30" t="s">
        <v>80</v>
      </c>
      <c r="D23" s="30" t="s">
        <v>44</v>
      </c>
      <c r="E23" s="30">
        <v>1002</v>
      </c>
      <c r="F23" s="30"/>
      <c r="G23" s="30"/>
      <c r="H23" s="30"/>
      <c r="I23" s="96">
        <v>2303.73</v>
      </c>
      <c r="J23">
        <f t="shared" si="1"/>
        <v>0</v>
      </c>
      <c r="K23">
        <f t="shared" si="0"/>
        <v>1</v>
      </c>
      <c r="L23">
        <f t="shared" si="2"/>
        <v>0</v>
      </c>
      <c r="M23" s="32"/>
      <c r="N23" s="85"/>
      <c r="O23" s="83"/>
      <c r="P23" s="40"/>
      <c r="Q23" s="81"/>
      <c r="R23" s="79"/>
    </row>
    <row r="24" spans="1:18" x14ac:dyDescent="0.2">
      <c r="A24" s="31">
        <v>86</v>
      </c>
      <c r="B24" s="30" t="s">
        <v>141</v>
      </c>
      <c r="C24" s="30" t="s">
        <v>142</v>
      </c>
      <c r="D24" s="30" t="s">
        <v>44</v>
      </c>
      <c r="E24" s="30">
        <v>1001</v>
      </c>
      <c r="F24" s="30"/>
      <c r="G24" s="30"/>
      <c r="H24" s="30"/>
      <c r="I24" s="96">
        <v>2297.6799999999998</v>
      </c>
      <c r="J24">
        <f t="shared" si="1"/>
        <v>0</v>
      </c>
      <c r="K24">
        <f t="shared" si="0"/>
        <v>1</v>
      </c>
      <c r="L24">
        <f t="shared" si="2"/>
        <v>0</v>
      </c>
      <c r="M24" s="32"/>
      <c r="N24" s="85"/>
      <c r="O24" s="83"/>
      <c r="P24" s="40"/>
      <c r="Q24" s="81"/>
      <c r="R24" s="79"/>
    </row>
    <row r="25" spans="1:18" x14ac:dyDescent="0.2">
      <c r="A25" s="31">
        <v>88</v>
      </c>
      <c r="B25" s="30" t="s">
        <v>153</v>
      </c>
      <c r="C25" s="30" t="s">
        <v>154</v>
      </c>
      <c r="D25" s="30" t="s">
        <v>44</v>
      </c>
      <c r="E25" s="30">
        <v>1001</v>
      </c>
      <c r="F25" s="30"/>
      <c r="G25" s="30"/>
      <c r="H25" s="30"/>
      <c r="I25" s="96">
        <v>637.87</v>
      </c>
      <c r="J25">
        <f t="shared" si="1"/>
        <v>1</v>
      </c>
      <c r="K25">
        <f t="shared" si="0"/>
        <v>0</v>
      </c>
      <c r="L25">
        <f t="shared" si="2"/>
        <v>0</v>
      </c>
      <c r="M25" s="32"/>
      <c r="N25" s="85"/>
      <c r="O25" s="83"/>
      <c r="P25" s="40"/>
      <c r="Q25" s="81"/>
      <c r="R25" s="79"/>
    </row>
    <row r="26" spans="1:18" x14ac:dyDescent="0.2">
      <c r="A26" s="31">
        <v>90</v>
      </c>
      <c r="B26" s="30" t="s">
        <v>156</v>
      </c>
      <c r="C26" s="30" t="s">
        <v>138</v>
      </c>
      <c r="D26" s="30" t="s">
        <v>44</v>
      </c>
      <c r="E26" s="30">
        <v>1001</v>
      </c>
      <c r="F26" s="30"/>
      <c r="G26" s="30"/>
      <c r="H26" s="30"/>
      <c r="I26" s="96">
        <v>957.07</v>
      </c>
      <c r="J26">
        <f t="shared" si="1"/>
        <v>1</v>
      </c>
      <c r="K26">
        <f t="shared" si="0"/>
        <v>0</v>
      </c>
      <c r="L26">
        <f t="shared" si="2"/>
        <v>0</v>
      </c>
      <c r="M26" s="32"/>
      <c r="N26" s="85"/>
      <c r="O26" s="83"/>
      <c r="P26" s="40"/>
      <c r="Q26" s="81"/>
      <c r="R26" s="79"/>
    </row>
    <row r="27" spans="1:18" x14ac:dyDescent="0.2">
      <c r="A27" s="31">
        <v>93</v>
      </c>
      <c r="B27" s="30" t="s">
        <v>167</v>
      </c>
      <c r="C27" s="30" t="s">
        <v>110</v>
      </c>
      <c r="D27" s="30" t="s">
        <v>44</v>
      </c>
      <c r="E27" s="30">
        <v>1002</v>
      </c>
      <c r="F27" s="30"/>
      <c r="G27" s="30"/>
      <c r="H27" s="30"/>
      <c r="I27" s="96">
        <v>2181.14</v>
      </c>
      <c r="J27">
        <f t="shared" si="1"/>
        <v>0</v>
      </c>
      <c r="K27">
        <f t="shared" si="0"/>
        <v>1</v>
      </c>
      <c r="L27">
        <f t="shared" si="2"/>
        <v>0</v>
      </c>
      <c r="M27" s="32"/>
      <c r="N27" s="85"/>
      <c r="O27" s="83"/>
      <c r="P27" s="40"/>
      <c r="Q27" s="81"/>
      <c r="R27" s="79"/>
    </row>
    <row r="28" spans="1:18" x14ac:dyDescent="0.2">
      <c r="A28" s="31"/>
      <c r="B28" s="146" t="s">
        <v>162</v>
      </c>
      <c r="C28" s="146" t="s">
        <v>163</v>
      </c>
      <c r="D28" s="146" t="s">
        <v>44</v>
      </c>
      <c r="E28" s="30"/>
      <c r="F28" s="30"/>
      <c r="G28" s="30"/>
      <c r="H28" s="30"/>
      <c r="I28" s="96">
        <v>548.39</v>
      </c>
      <c r="J28">
        <f t="shared" si="1"/>
        <v>1</v>
      </c>
      <c r="K28">
        <f t="shared" si="0"/>
        <v>0</v>
      </c>
      <c r="L28">
        <f t="shared" si="2"/>
        <v>0</v>
      </c>
      <c r="M28" s="32"/>
      <c r="N28" s="85"/>
      <c r="O28" s="83"/>
      <c r="P28" s="40"/>
      <c r="Q28" s="81"/>
      <c r="R28" s="79"/>
    </row>
    <row r="29" spans="1:18" x14ac:dyDescent="0.2">
      <c r="A29" s="31">
        <v>99</v>
      </c>
      <c r="B29" s="30" t="s">
        <v>200</v>
      </c>
      <c r="C29" s="30" t="s">
        <v>197</v>
      </c>
      <c r="D29" s="30" t="s">
        <v>44</v>
      </c>
      <c r="E29" s="30">
        <v>1001</v>
      </c>
      <c r="F29" s="30"/>
      <c r="G29" s="30"/>
      <c r="H29" s="30"/>
      <c r="I29" s="96">
        <v>1628.77</v>
      </c>
      <c r="J29">
        <f t="shared" si="1"/>
        <v>1</v>
      </c>
      <c r="K29">
        <f t="shared" si="0"/>
        <v>0</v>
      </c>
      <c r="L29">
        <f t="shared" si="2"/>
        <v>0</v>
      </c>
      <c r="M29" s="32"/>
      <c r="N29" s="85"/>
      <c r="O29" s="83"/>
      <c r="P29" s="40"/>
      <c r="Q29" s="81"/>
      <c r="R29" s="79"/>
    </row>
    <row r="30" spans="1:18" x14ac:dyDescent="0.2">
      <c r="A30" s="31">
        <v>10000</v>
      </c>
      <c r="B30" s="30" t="s">
        <v>198</v>
      </c>
      <c r="C30" s="30" t="s">
        <v>64</v>
      </c>
      <c r="D30" s="30" t="s">
        <v>44</v>
      </c>
      <c r="E30" s="30">
        <v>1001</v>
      </c>
      <c r="F30" s="30"/>
      <c r="G30" s="30"/>
      <c r="H30" s="30"/>
      <c r="I30" s="96">
        <v>1484.78</v>
      </c>
      <c r="J30">
        <f t="shared" si="1"/>
        <v>1</v>
      </c>
      <c r="K30">
        <f t="shared" si="0"/>
        <v>0</v>
      </c>
      <c r="L30">
        <f t="shared" si="2"/>
        <v>0</v>
      </c>
      <c r="M30" s="32"/>
      <c r="N30" s="85"/>
      <c r="O30" s="83"/>
      <c r="P30" s="40"/>
      <c r="Q30" s="81"/>
      <c r="R30" s="79"/>
    </row>
    <row r="31" spans="1:18" x14ac:dyDescent="0.2">
      <c r="A31" s="31"/>
      <c r="B31" s="146" t="s">
        <v>216</v>
      </c>
      <c r="C31" s="146" t="s">
        <v>46</v>
      </c>
      <c r="D31" s="146" t="s">
        <v>44</v>
      </c>
      <c r="E31" s="30"/>
      <c r="F31" s="30"/>
      <c r="G31" s="30"/>
      <c r="H31" s="30"/>
      <c r="I31" s="96">
        <v>1766.11</v>
      </c>
      <c r="J31">
        <f t="shared" si="1"/>
        <v>1</v>
      </c>
      <c r="K31">
        <f t="shared" si="0"/>
        <v>0</v>
      </c>
      <c r="L31">
        <f t="shared" si="2"/>
        <v>0</v>
      </c>
      <c r="M31" s="32"/>
      <c r="N31" s="85"/>
      <c r="O31" s="83"/>
      <c r="P31" s="40"/>
      <c r="Q31" s="81"/>
      <c r="R31" s="79"/>
    </row>
    <row r="32" spans="1:18" s="118" customFormat="1" x14ac:dyDescent="0.2">
      <c r="B32" s="150" t="s">
        <v>199</v>
      </c>
      <c r="C32" s="150" t="s">
        <v>175</v>
      </c>
      <c r="D32" s="150" t="s">
        <v>44</v>
      </c>
      <c r="E32" s="150">
        <v>1002</v>
      </c>
      <c r="F32" s="150"/>
      <c r="G32" s="150"/>
      <c r="H32" s="150"/>
      <c r="I32" s="151">
        <f>815.88*2</f>
        <v>1631.76</v>
      </c>
      <c r="J32" s="118">
        <f t="shared" si="1"/>
        <v>1</v>
      </c>
      <c r="K32" s="118">
        <f t="shared" si="0"/>
        <v>0</v>
      </c>
      <c r="L32" s="118">
        <f t="shared" si="2"/>
        <v>0</v>
      </c>
      <c r="M32" s="151">
        <f>MAX(I12:I32)</f>
        <v>2315.83</v>
      </c>
      <c r="O32" s="152">
        <v>0.6</v>
      </c>
      <c r="P32" s="153">
        <f>M32*60%</f>
        <v>1389.4979999999998</v>
      </c>
      <c r="Q32" s="153">
        <f>M32*90%</f>
        <v>2084.2469999999998</v>
      </c>
      <c r="R32" s="154"/>
    </row>
    <row r="33" spans="1:18" x14ac:dyDescent="0.2">
      <c r="B33" s="30"/>
      <c r="C33" s="30"/>
      <c r="D33" s="30"/>
      <c r="E33" s="30"/>
      <c r="F33" s="30"/>
      <c r="G33" s="30"/>
      <c r="H33" s="30"/>
      <c r="I33" s="157"/>
      <c r="J33" s="3">
        <f>SUM(J12:J32)</f>
        <v>11</v>
      </c>
      <c r="K33" s="3">
        <f>SUM(K12:K32)</f>
        <v>10</v>
      </c>
      <c r="L33" s="3">
        <f>SUM(L12:L32)</f>
        <v>0</v>
      </c>
      <c r="M33" s="157"/>
      <c r="O33" s="143"/>
      <c r="P33" s="40"/>
      <c r="Q33" s="40"/>
      <c r="R33" s="89"/>
    </row>
    <row r="34" spans="1:18" x14ac:dyDescent="0.2">
      <c r="A34" s="31">
        <v>7</v>
      </c>
      <c r="B34" s="30" t="s">
        <v>63</v>
      </c>
      <c r="C34" s="30" t="s">
        <v>64</v>
      </c>
      <c r="D34" s="30" t="s">
        <v>172</v>
      </c>
      <c r="E34" s="30">
        <v>1001</v>
      </c>
      <c r="F34" s="30"/>
      <c r="G34" s="30"/>
      <c r="H34" s="30"/>
      <c r="I34" s="96">
        <v>2511.58</v>
      </c>
      <c r="J34">
        <f>COUNTIF(I34,"&lt;=1992,02")</f>
        <v>0</v>
      </c>
      <c r="K34">
        <f t="shared" si="0"/>
        <v>1</v>
      </c>
      <c r="L34">
        <f>COUNTIF(I34,"&gt;=2988,03")</f>
        <v>0</v>
      </c>
      <c r="M34" s="32"/>
      <c r="N34" s="85"/>
      <c r="O34" s="83"/>
      <c r="P34" s="40"/>
      <c r="Q34" s="81"/>
      <c r="R34" s="79"/>
    </row>
    <row r="35" spans="1:18" x14ac:dyDescent="0.2">
      <c r="A35" s="31">
        <v>8</v>
      </c>
      <c r="B35" s="30" t="s">
        <v>65</v>
      </c>
      <c r="C35" s="30" t="s">
        <v>66</v>
      </c>
      <c r="D35" s="30" t="s">
        <v>172</v>
      </c>
      <c r="E35" s="30">
        <v>1002</v>
      </c>
      <c r="F35" s="30"/>
      <c r="G35" s="30"/>
      <c r="H35" s="30"/>
      <c r="I35" s="96">
        <v>2371.34</v>
      </c>
      <c r="J35">
        <f t="shared" ref="J35:J49" si="3">COUNTIF(I35,"&lt;=1992,02")</f>
        <v>0</v>
      </c>
      <c r="K35">
        <f t="shared" si="0"/>
        <v>1</v>
      </c>
      <c r="L35">
        <f t="shared" ref="L35:L49" si="4">COUNTIF(I35,"&gt;=2988,03")</f>
        <v>0</v>
      </c>
      <c r="M35" s="32"/>
      <c r="N35" s="85"/>
      <c r="O35" s="83"/>
      <c r="P35" s="40"/>
      <c r="Q35" s="81"/>
      <c r="R35" s="79"/>
    </row>
    <row r="36" spans="1:18" x14ac:dyDescent="0.2">
      <c r="A36" s="31">
        <v>19</v>
      </c>
      <c r="B36" s="30" t="s">
        <v>86</v>
      </c>
      <c r="C36" s="30" t="s">
        <v>87</v>
      </c>
      <c r="D36" s="30" t="s">
        <v>172</v>
      </c>
      <c r="E36" s="30">
        <v>1001</v>
      </c>
      <c r="F36" s="30"/>
      <c r="G36" s="30"/>
      <c r="H36" s="30"/>
      <c r="I36" s="96">
        <v>1239.21</v>
      </c>
      <c r="J36">
        <f t="shared" si="3"/>
        <v>1</v>
      </c>
      <c r="K36">
        <f t="shared" si="0"/>
        <v>0</v>
      </c>
      <c r="L36">
        <f t="shared" si="4"/>
        <v>0</v>
      </c>
      <c r="M36" s="32"/>
      <c r="N36" s="85"/>
      <c r="O36" s="83"/>
      <c r="P36" s="40"/>
      <c r="Q36" s="81"/>
      <c r="R36" s="79"/>
    </row>
    <row r="37" spans="1:18" x14ac:dyDescent="0.2">
      <c r="A37" s="31">
        <v>39</v>
      </c>
      <c r="B37" s="30" t="s">
        <v>92</v>
      </c>
      <c r="C37" s="30" t="s">
        <v>93</v>
      </c>
      <c r="D37" s="30" t="s">
        <v>172</v>
      </c>
      <c r="E37" s="30">
        <v>1001</v>
      </c>
      <c r="F37" s="30"/>
      <c r="G37" s="30"/>
      <c r="H37" s="30"/>
      <c r="I37" s="96">
        <v>2478.37</v>
      </c>
      <c r="J37">
        <f t="shared" si="3"/>
        <v>0</v>
      </c>
      <c r="K37">
        <f t="shared" si="0"/>
        <v>1</v>
      </c>
      <c r="L37">
        <f t="shared" si="4"/>
        <v>0</v>
      </c>
      <c r="M37" s="32"/>
      <c r="N37" s="85"/>
      <c r="O37" s="83"/>
      <c r="P37" s="40"/>
      <c r="Q37" s="81"/>
      <c r="R37" s="79"/>
    </row>
    <row r="38" spans="1:18" x14ac:dyDescent="0.2">
      <c r="A38" s="31">
        <v>48</v>
      </c>
      <c r="B38" s="30" t="s">
        <v>94</v>
      </c>
      <c r="C38" s="30" t="s">
        <v>95</v>
      </c>
      <c r="D38" s="30" t="s">
        <v>172</v>
      </c>
      <c r="E38" s="30">
        <v>1002</v>
      </c>
      <c r="F38" s="30"/>
      <c r="G38" s="30"/>
      <c r="H38" s="30"/>
      <c r="I38" s="96">
        <v>2298.6</v>
      </c>
      <c r="J38">
        <f t="shared" si="3"/>
        <v>0</v>
      </c>
      <c r="K38">
        <f t="shared" si="0"/>
        <v>1</v>
      </c>
      <c r="L38">
        <f t="shared" si="4"/>
        <v>0</v>
      </c>
      <c r="M38" s="32"/>
      <c r="N38" s="85"/>
      <c r="O38" s="83"/>
      <c r="P38" s="40"/>
      <c r="Q38" s="81"/>
      <c r="R38" s="79"/>
    </row>
    <row r="39" spans="1:18" x14ac:dyDescent="0.2">
      <c r="A39" s="31">
        <v>51</v>
      </c>
      <c r="B39" s="30" t="s">
        <v>96</v>
      </c>
      <c r="C39" s="30" t="s">
        <v>97</v>
      </c>
      <c r="D39" s="30" t="s">
        <v>172</v>
      </c>
      <c r="E39" s="30">
        <v>1002</v>
      </c>
      <c r="F39" s="30"/>
      <c r="G39" s="30"/>
      <c r="H39" s="30"/>
      <c r="I39" s="96">
        <v>2076.87</v>
      </c>
      <c r="J39">
        <f t="shared" si="3"/>
        <v>0</v>
      </c>
      <c r="K39">
        <f t="shared" si="0"/>
        <v>1</v>
      </c>
      <c r="L39">
        <f t="shared" si="4"/>
        <v>0</v>
      </c>
      <c r="M39" s="32"/>
      <c r="N39" s="85"/>
      <c r="O39" s="83"/>
      <c r="P39" s="40"/>
      <c r="Q39" s="81"/>
      <c r="R39" s="79"/>
    </row>
    <row r="40" spans="1:18" x14ac:dyDescent="0.2">
      <c r="A40" s="31">
        <v>56</v>
      </c>
      <c r="B40" s="30" t="s">
        <v>89</v>
      </c>
      <c r="C40" s="30" t="s">
        <v>90</v>
      </c>
      <c r="D40" s="30" t="s">
        <v>172</v>
      </c>
      <c r="E40" s="30">
        <v>1002</v>
      </c>
      <c r="F40" s="30"/>
      <c r="G40" s="30"/>
      <c r="H40" s="30"/>
      <c r="I40" s="96">
        <v>2030.87</v>
      </c>
      <c r="J40">
        <f t="shared" si="3"/>
        <v>0</v>
      </c>
      <c r="K40">
        <f t="shared" si="0"/>
        <v>1</v>
      </c>
      <c r="L40">
        <f t="shared" si="4"/>
        <v>0</v>
      </c>
      <c r="M40" s="32"/>
      <c r="N40" s="85"/>
      <c r="O40" s="83"/>
      <c r="P40" s="40"/>
      <c r="Q40" s="81"/>
      <c r="R40" s="79"/>
    </row>
    <row r="41" spans="1:18" x14ac:dyDescent="0.2">
      <c r="A41" s="31">
        <v>59</v>
      </c>
      <c r="B41" s="30" t="s">
        <v>68</v>
      </c>
      <c r="C41" s="30" t="s">
        <v>61</v>
      </c>
      <c r="D41" s="30" t="s">
        <v>172</v>
      </c>
      <c r="E41" s="30">
        <v>1002</v>
      </c>
      <c r="F41" s="30"/>
      <c r="G41" s="30"/>
      <c r="H41" s="30"/>
      <c r="I41" s="96">
        <v>2472.73</v>
      </c>
      <c r="J41">
        <f t="shared" si="3"/>
        <v>0</v>
      </c>
      <c r="K41">
        <f t="shared" si="0"/>
        <v>1</v>
      </c>
      <c r="L41">
        <f t="shared" si="4"/>
        <v>0</v>
      </c>
      <c r="M41" s="32"/>
      <c r="N41" s="85"/>
      <c r="O41" s="83"/>
      <c r="P41" s="40"/>
      <c r="Q41" s="81"/>
      <c r="R41" s="79"/>
    </row>
    <row r="42" spans="1:18" x14ac:dyDescent="0.2">
      <c r="A42" s="31">
        <v>67</v>
      </c>
      <c r="B42" s="30" t="s">
        <v>100</v>
      </c>
      <c r="C42" s="30" t="s">
        <v>105</v>
      </c>
      <c r="D42" s="30" t="s">
        <v>172</v>
      </c>
      <c r="E42" s="30">
        <v>1001</v>
      </c>
      <c r="F42" s="30"/>
      <c r="G42" s="30"/>
      <c r="H42" s="30"/>
      <c r="I42" s="96">
        <v>2450.59</v>
      </c>
      <c r="J42">
        <f t="shared" si="3"/>
        <v>0</v>
      </c>
      <c r="K42">
        <f t="shared" si="0"/>
        <v>1</v>
      </c>
      <c r="L42">
        <f t="shared" si="4"/>
        <v>0</v>
      </c>
      <c r="M42" s="26"/>
      <c r="N42" s="26"/>
      <c r="O42" s="26"/>
      <c r="P42" s="47"/>
      <c r="Q42" s="48"/>
      <c r="R42" s="49"/>
    </row>
    <row r="43" spans="1:18" x14ac:dyDescent="0.2">
      <c r="A43" s="31">
        <v>70</v>
      </c>
      <c r="B43" s="30" t="s">
        <v>109</v>
      </c>
      <c r="C43" s="30" t="s">
        <v>110</v>
      </c>
      <c r="D43" s="30" t="s">
        <v>172</v>
      </c>
      <c r="E43" s="30">
        <v>1002</v>
      </c>
      <c r="F43" s="30"/>
      <c r="G43" s="30"/>
      <c r="H43" s="30"/>
      <c r="I43" s="96">
        <v>2424.98</v>
      </c>
      <c r="J43">
        <f t="shared" si="3"/>
        <v>0</v>
      </c>
      <c r="K43">
        <f t="shared" si="0"/>
        <v>1</v>
      </c>
      <c r="L43">
        <f t="shared" si="4"/>
        <v>0</v>
      </c>
      <c r="M43" s="26"/>
      <c r="N43" s="26"/>
      <c r="O43" s="26"/>
      <c r="P43" s="50"/>
    </row>
    <row r="44" spans="1:18" x14ac:dyDescent="0.2">
      <c r="A44" s="31">
        <v>71</v>
      </c>
      <c r="B44" s="30" t="s">
        <v>107</v>
      </c>
      <c r="C44" s="30" t="s">
        <v>108</v>
      </c>
      <c r="D44" s="30" t="s">
        <v>172</v>
      </c>
      <c r="E44" s="30">
        <v>1002</v>
      </c>
      <c r="F44" s="30"/>
      <c r="G44" s="30"/>
      <c r="H44" s="30"/>
      <c r="I44" s="96">
        <v>2487.04</v>
      </c>
      <c r="J44">
        <f t="shared" si="3"/>
        <v>0</v>
      </c>
      <c r="K44">
        <f t="shared" si="0"/>
        <v>1</v>
      </c>
      <c r="L44">
        <f t="shared" si="4"/>
        <v>0</v>
      </c>
      <c r="M44" s="32"/>
      <c r="N44" s="39"/>
      <c r="O44" s="34"/>
      <c r="P44" s="40"/>
      <c r="Q44" s="81"/>
      <c r="R44" s="89"/>
    </row>
    <row r="45" spans="1:18" x14ac:dyDescent="0.2">
      <c r="A45" s="31">
        <v>74</v>
      </c>
      <c r="B45" s="30" t="s">
        <v>99</v>
      </c>
      <c r="C45" s="30" t="s">
        <v>64</v>
      </c>
      <c r="D45" s="30" t="s">
        <v>172</v>
      </c>
      <c r="E45" s="30">
        <v>1002</v>
      </c>
      <c r="F45" s="30"/>
      <c r="G45" s="30"/>
      <c r="H45" s="30"/>
      <c r="I45" s="96">
        <v>2001.95</v>
      </c>
      <c r="J45">
        <f t="shared" si="3"/>
        <v>0</v>
      </c>
      <c r="K45">
        <f t="shared" si="0"/>
        <v>1</v>
      </c>
      <c r="L45">
        <f t="shared" si="4"/>
        <v>0</v>
      </c>
      <c r="M45" s="32"/>
      <c r="N45" s="39"/>
      <c r="O45" s="34"/>
      <c r="P45" s="40"/>
      <c r="Q45" s="81"/>
      <c r="R45" s="89"/>
    </row>
    <row r="46" spans="1:18" x14ac:dyDescent="0.2">
      <c r="A46" s="31">
        <v>79</v>
      </c>
      <c r="B46" s="30" t="s">
        <v>135</v>
      </c>
      <c r="C46" s="30" t="s">
        <v>52</v>
      </c>
      <c r="D46" s="30" t="s">
        <v>172</v>
      </c>
      <c r="E46" s="30">
        <v>1002</v>
      </c>
      <c r="F46" s="30"/>
      <c r="G46" s="30"/>
      <c r="H46" s="30"/>
      <c r="I46" s="96">
        <f>1018.82*2</f>
        <v>2037.64</v>
      </c>
      <c r="J46">
        <f t="shared" si="3"/>
        <v>0</v>
      </c>
      <c r="K46">
        <f t="shared" si="0"/>
        <v>1</v>
      </c>
      <c r="L46">
        <f t="shared" si="4"/>
        <v>0</v>
      </c>
      <c r="P46" s="47"/>
      <c r="Q46" s="98"/>
      <c r="R46" s="98"/>
    </row>
    <row r="47" spans="1:18" x14ac:dyDescent="0.2">
      <c r="A47" s="31">
        <v>81</v>
      </c>
      <c r="B47" s="30" t="s">
        <v>136</v>
      </c>
      <c r="C47" s="30" t="s">
        <v>137</v>
      </c>
      <c r="D47" s="30" t="s">
        <v>172</v>
      </c>
      <c r="E47" s="30">
        <v>1002</v>
      </c>
      <c r="F47" s="30"/>
      <c r="G47" s="30"/>
      <c r="H47" s="30"/>
      <c r="I47" s="96">
        <v>2396.1</v>
      </c>
      <c r="J47">
        <f t="shared" si="3"/>
        <v>0</v>
      </c>
      <c r="K47">
        <f t="shared" si="0"/>
        <v>1</v>
      </c>
      <c r="L47">
        <f t="shared" si="4"/>
        <v>0</v>
      </c>
      <c r="Q47" s="99"/>
      <c r="R47" s="100"/>
    </row>
    <row r="48" spans="1:18" x14ac:dyDescent="0.2">
      <c r="A48" s="31"/>
      <c r="B48" s="146" t="s">
        <v>217</v>
      </c>
      <c r="C48" s="146" t="s">
        <v>218</v>
      </c>
      <c r="D48" s="146" t="s">
        <v>172</v>
      </c>
      <c r="E48" s="30"/>
      <c r="F48" s="30"/>
      <c r="G48" s="30"/>
      <c r="H48" s="30"/>
      <c r="I48" s="96">
        <v>923.29</v>
      </c>
      <c r="J48">
        <f t="shared" si="3"/>
        <v>1</v>
      </c>
      <c r="K48">
        <f t="shared" si="0"/>
        <v>0</v>
      </c>
      <c r="L48">
        <f t="shared" si="4"/>
        <v>0</v>
      </c>
      <c r="Q48" s="99"/>
      <c r="R48" s="100"/>
    </row>
    <row r="49" spans="1:18" s="118" customFormat="1" x14ac:dyDescent="0.2">
      <c r="A49" s="149">
        <v>92</v>
      </c>
      <c r="B49" s="150" t="s">
        <v>165</v>
      </c>
      <c r="C49" s="150" t="s">
        <v>166</v>
      </c>
      <c r="D49" s="150" t="s">
        <v>172</v>
      </c>
      <c r="E49" s="150">
        <v>1002</v>
      </c>
      <c r="F49" s="150"/>
      <c r="G49" s="150"/>
      <c r="H49" s="150"/>
      <c r="I49" s="151">
        <v>2458.08</v>
      </c>
      <c r="J49" s="118">
        <f t="shared" si="3"/>
        <v>0</v>
      </c>
      <c r="K49" s="118">
        <f t="shared" si="0"/>
        <v>1</v>
      </c>
      <c r="L49" s="118">
        <f t="shared" si="4"/>
        <v>0</v>
      </c>
      <c r="M49" s="151">
        <f>MAX(I34:I49)</f>
        <v>2511.58</v>
      </c>
      <c r="O49" s="152">
        <v>0.6</v>
      </c>
      <c r="P49" s="153">
        <f>M49*60%</f>
        <v>1506.9479999999999</v>
      </c>
      <c r="Q49" s="153">
        <f>M49*90%</f>
        <v>2260.422</v>
      </c>
      <c r="R49" s="156"/>
    </row>
    <row r="50" spans="1:18" x14ac:dyDescent="0.2">
      <c r="A50" s="31"/>
      <c r="B50" s="30"/>
      <c r="C50" s="30"/>
      <c r="D50" s="30"/>
      <c r="E50" s="30"/>
      <c r="F50" s="30"/>
      <c r="G50" s="30"/>
      <c r="H50" s="30"/>
      <c r="I50" s="157"/>
      <c r="J50" s="3">
        <f>SUM(J34:J49)</f>
        <v>2</v>
      </c>
      <c r="K50" s="3">
        <f>SUM(K34:K49)</f>
        <v>14</v>
      </c>
      <c r="L50" s="3">
        <f>SUM(L34:L49)</f>
        <v>0</v>
      </c>
      <c r="M50" s="157"/>
      <c r="O50" s="143"/>
      <c r="P50" s="40"/>
      <c r="Q50" s="40"/>
      <c r="R50" s="100"/>
    </row>
    <row r="51" spans="1:18" x14ac:dyDescent="0.2">
      <c r="A51" s="31">
        <v>61</v>
      </c>
      <c r="B51" s="30" t="s">
        <v>51</v>
      </c>
      <c r="C51" s="30" t="s">
        <v>52</v>
      </c>
      <c r="D51" s="30" t="s">
        <v>172</v>
      </c>
      <c r="E51" s="30">
        <v>1001</v>
      </c>
      <c r="F51" s="30"/>
      <c r="G51" s="30"/>
      <c r="H51" s="30"/>
      <c r="I51" s="96">
        <v>2794.68</v>
      </c>
      <c r="J51">
        <f>COUNTIF(I51,"&lt;=1992,02")</f>
        <v>0</v>
      </c>
      <c r="K51">
        <f>IF(J51+L51=0,1,0)</f>
        <v>1</v>
      </c>
      <c r="L51">
        <f>COUNTIF(I51,"&gt;=2988,03")</f>
        <v>0</v>
      </c>
      <c r="M51" s="32"/>
      <c r="N51" s="85"/>
      <c r="O51" s="83"/>
      <c r="P51" s="40"/>
      <c r="Q51" s="80"/>
      <c r="R51" s="79"/>
    </row>
    <row r="52" spans="1:18" x14ac:dyDescent="0.2">
      <c r="A52" s="31">
        <v>13</v>
      </c>
      <c r="B52" s="30" t="s">
        <v>82</v>
      </c>
      <c r="C52" s="30" t="s">
        <v>83</v>
      </c>
      <c r="D52" s="30" t="s">
        <v>174</v>
      </c>
      <c r="E52" s="30">
        <v>1001</v>
      </c>
      <c r="F52" s="30"/>
      <c r="G52" s="30"/>
      <c r="H52" s="30"/>
      <c r="I52" s="96">
        <v>2894.02</v>
      </c>
      <c r="J52">
        <f>COUNTIF(I52,"&lt;=2290,47")</f>
        <v>0</v>
      </c>
      <c r="K52">
        <f t="shared" si="0"/>
        <v>1</v>
      </c>
      <c r="L52">
        <f>COUNTIF(I52,"&gt;=3435,71")</f>
        <v>0</v>
      </c>
      <c r="Q52" s="99"/>
      <c r="R52" s="100"/>
    </row>
    <row r="53" spans="1:18" s="118" customFormat="1" x14ac:dyDescent="0.2">
      <c r="A53" s="149">
        <v>23</v>
      </c>
      <c r="B53" s="150" t="s">
        <v>100</v>
      </c>
      <c r="C53" s="150" t="s">
        <v>101</v>
      </c>
      <c r="D53" s="150" t="s">
        <v>174</v>
      </c>
      <c r="E53" s="150">
        <v>1002</v>
      </c>
      <c r="F53" s="150"/>
      <c r="G53" s="150"/>
      <c r="H53" s="150"/>
      <c r="I53" s="151">
        <v>2894.02</v>
      </c>
      <c r="J53" s="118">
        <f>COUNTIF(I53,"&lt;=2290,47")</f>
        <v>0</v>
      </c>
      <c r="K53" s="118">
        <f t="shared" si="0"/>
        <v>1</v>
      </c>
      <c r="L53" s="118">
        <f>COUNTIF(I53,"&gt;=3435,71")</f>
        <v>0</v>
      </c>
      <c r="M53" s="151">
        <f>MAX(I51:I53)</f>
        <v>2894.02</v>
      </c>
      <c r="O53" s="152">
        <v>0.6</v>
      </c>
      <c r="P53" s="153">
        <f>M53*60%</f>
        <v>1736.412</v>
      </c>
      <c r="Q53" s="153">
        <f>M53*90%</f>
        <v>2604.6179999999999</v>
      </c>
      <c r="R53" s="156"/>
    </row>
    <row r="54" spans="1:18" x14ac:dyDescent="0.2">
      <c r="A54" s="31"/>
      <c r="B54" s="30"/>
      <c r="C54" s="30"/>
      <c r="D54" s="30"/>
      <c r="E54" s="30"/>
      <c r="F54" s="30"/>
      <c r="G54" s="30"/>
      <c r="H54" s="30"/>
      <c r="I54" s="157">
        <f>SUM(I5:I53)</f>
        <v>85830.450000000012</v>
      </c>
      <c r="J54" s="3">
        <f>SUM(J52:J53)</f>
        <v>0</v>
      </c>
      <c r="K54" s="3">
        <f>SUM(K52:K53)</f>
        <v>2</v>
      </c>
      <c r="L54" s="3">
        <f>SUM(L52:L53)</f>
        <v>0</v>
      </c>
      <c r="M54" s="157"/>
      <c r="O54" s="143"/>
      <c r="P54" s="40"/>
      <c r="Q54" s="40"/>
      <c r="R54" s="100"/>
    </row>
    <row r="55" spans="1:18" s="123" customFormat="1" ht="15" x14ac:dyDescent="0.25">
      <c r="A55" s="122"/>
      <c r="F55" s="133">
        <f>SUM(F5:F53)</f>
        <v>0</v>
      </c>
      <c r="G55" s="133">
        <f>SUM(G5:G53)</f>
        <v>0</v>
      </c>
      <c r="H55" s="133">
        <f>SUM(H5:H53)</f>
        <v>0</v>
      </c>
      <c r="I55" s="133">
        <f>SUM(F55:H55)</f>
        <v>0</v>
      </c>
      <c r="P55" s="124"/>
      <c r="Q55" s="125"/>
      <c r="R55" s="126"/>
    </row>
    <row r="56" spans="1:18" x14ac:dyDescent="0.2">
      <c r="A56" s="24"/>
      <c r="B56" s="8"/>
      <c r="F56" s="30"/>
      <c r="G56" s="30"/>
      <c r="H56" s="30"/>
      <c r="I56" s="158" t="s">
        <v>209</v>
      </c>
      <c r="J56">
        <f>J54+J50+J33+J11+J6</f>
        <v>13</v>
      </c>
      <c r="K56">
        <f>K54+K50+K33+K11+K6</f>
        <v>31</v>
      </c>
      <c r="L56">
        <f>L54+L50+L33+L11+L6</f>
        <v>0</v>
      </c>
      <c r="Q56" s="99"/>
      <c r="R56" s="100"/>
    </row>
    <row r="57" spans="1:18" x14ac:dyDescent="0.2">
      <c r="A57" s="31"/>
      <c r="B57" s="30"/>
      <c r="C57" s="30"/>
      <c r="D57" s="30"/>
      <c r="E57" s="30"/>
      <c r="F57" s="30"/>
      <c r="G57" s="30"/>
      <c r="H57" s="30"/>
      <c r="I57" s="96"/>
      <c r="Q57" s="99"/>
      <c r="R57" s="100"/>
    </row>
    <row r="58" spans="1:18" x14ac:dyDescent="0.2">
      <c r="A58" s="713" t="s">
        <v>210</v>
      </c>
      <c r="B58" s="713"/>
      <c r="C58" s="713"/>
      <c r="D58" s="713"/>
      <c r="E58" s="713"/>
      <c r="F58" s="713"/>
      <c r="G58" s="713"/>
      <c r="H58" s="713"/>
      <c r="I58" s="713"/>
      <c r="J58" s="713"/>
      <c r="K58" s="713"/>
      <c r="L58" s="713"/>
      <c r="M58" s="713"/>
      <c r="Q58" s="99"/>
      <c r="R58" s="100"/>
    </row>
    <row r="59" spans="1:18" s="3" customFormat="1" ht="6" customHeight="1" x14ac:dyDescent="0.2">
      <c r="A59" s="713"/>
      <c r="B59" s="713"/>
      <c r="C59" s="713"/>
      <c r="D59" s="713"/>
      <c r="E59" s="713"/>
      <c r="F59" s="713"/>
      <c r="G59" s="713"/>
      <c r="H59" s="713"/>
      <c r="I59" s="713"/>
      <c r="J59" s="713"/>
      <c r="K59" s="713"/>
      <c r="L59" s="713"/>
      <c r="M59" s="713"/>
      <c r="P59" s="4"/>
      <c r="Q59" s="15"/>
      <c r="R59" s="60"/>
    </row>
    <row r="60" spans="1:18" hidden="1" x14ac:dyDescent="0.2">
      <c r="A60" s="713"/>
      <c r="B60" s="713"/>
      <c r="C60" s="713"/>
      <c r="D60" s="713"/>
      <c r="E60" s="713"/>
      <c r="F60" s="713"/>
      <c r="G60" s="713"/>
      <c r="H60" s="713"/>
      <c r="I60" s="713"/>
      <c r="J60" s="713"/>
      <c r="K60" s="713"/>
      <c r="L60" s="713"/>
      <c r="M60" s="713"/>
    </row>
    <row r="61" spans="1:18" hidden="1" x14ac:dyDescent="0.2">
      <c r="A61" s="713"/>
      <c r="B61" s="713"/>
      <c r="C61" s="713"/>
      <c r="D61" s="713"/>
      <c r="E61" s="713"/>
      <c r="F61" s="713"/>
      <c r="G61" s="713"/>
      <c r="H61" s="713"/>
      <c r="I61" s="713"/>
      <c r="J61" s="713"/>
      <c r="K61" s="713"/>
      <c r="L61" s="713"/>
      <c r="M61" s="713"/>
    </row>
    <row r="62" spans="1:18" x14ac:dyDescent="0.2">
      <c r="B62" s="3"/>
      <c r="C62" s="54"/>
      <c r="D62" s="54"/>
      <c r="E62" s="61"/>
      <c r="F62" s="61"/>
    </row>
    <row r="63" spans="1:18" x14ac:dyDescent="0.2">
      <c r="A63" s="31"/>
      <c r="C63" s="82"/>
      <c r="D63" s="82"/>
      <c r="E63" s="148"/>
      <c r="F63" s="82"/>
    </row>
    <row r="64" spans="1:18" ht="25.5" x14ac:dyDescent="0.2">
      <c r="A64" s="31"/>
      <c r="B64" s="188" t="s">
        <v>245</v>
      </c>
      <c r="C64" s="82"/>
      <c r="D64" s="82"/>
      <c r="E64" s="82"/>
      <c r="F64" s="82"/>
      <c r="I64" s="23">
        <f>AVERAGE(I5:I53)</f>
        <v>1907.3433333333337</v>
      </c>
    </row>
    <row r="65" spans="1:6" x14ac:dyDescent="0.2">
      <c r="A65" s="59"/>
      <c r="B65" s="3"/>
      <c r="C65" s="65"/>
      <c r="D65" s="65"/>
      <c r="E65" s="66"/>
      <c r="F65" s="66"/>
    </row>
    <row r="66" spans="1:6" x14ac:dyDescent="0.2">
      <c r="A66" s="55"/>
      <c r="B66" s="55"/>
      <c r="C66" s="82"/>
      <c r="D66" s="82"/>
      <c r="E66" s="82"/>
      <c r="F66" s="82"/>
    </row>
    <row r="67" spans="1:6" x14ac:dyDescent="0.2">
      <c r="A67" s="55"/>
      <c r="C67" s="82"/>
      <c r="D67" s="82"/>
      <c r="E67" s="82"/>
      <c r="F67" s="82"/>
    </row>
    <row r="68" spans="1:6" x14ac:dyDescent="0.2">
      <c r="A68" s="55"/>
      <c r="C68" s="80"/>
      <c r="D68" s="80"/>
      <c r="E68" s="82"/>
      <c r="F68" s="82"/>
    </row>
    <row r="69" spans="1:6" x14ac:dyDescent="0.2">
      <c r="A69" s="59"/>
      <c r="B69" s="3"/>
      <c r="C69" s="65"/>
      <c r="D69" s="65"/>
      <c r="E69" s="66"/>
      <c r="F69" s="66"/>
    </row>
    <row r="70" spans="1:6" x14ac:dyDescent="0.2">
      <c r="A70" s="55"/>
      <c r="C70" s="80"/>
      <c r="D70" s="80"/>
      <c r="E70" s="80"/>
      <c r="F70" s="80"/>
    </row>
    <row r="71" spans="1:6" x14ac:dyDescent="0.2">
      <c r="A71" s="3"/>
      <c r="B71" s="3"/>
      <c r="C71" s="66"/>
      <c r="D71" s="66"/>
      <c r="E71" s="66"/>
      <c r="F71" s="66"/>
    </row>
    <row r="72" spans="1:6" x14ac:dyDescent="0.2">
      <c r="C72" s="80"/>
      <c r="D72" s="80"/>
      <c r="E72" s="80"/>
      <c r="F72" s="80"/>
    </row>
    <row r="73" spans="1:6" x14ac:dyDescent="0.2">
      <c r="C73" s="80"/>
      <c r="D73" s="80"/>
      <c r="E73" s="80"/>
      <c r="F73" s="80"/>
    </row>
    <row r="74" spans="1:6" x14ac:dyDescent="0.2">
      <c r="A74" s="16"/>
      <c r="B74" s="16"/>
      <c r="C74" s="71"/>
      <c r="D74" s="71"/>
      <c r="E74" s="72"/>
      <c r="F74" s="72"/>
    </row>
    <row r="75" spans="1:6" x14ac:dyDescent="0.2">
      <c r="A75" s="16"/>
      <c r="B75" s="16"/>
      <c r="C75" s="71"/>
      <c r="D75" s="71"/>
      <c r="E75" s="71"/>
      <c r="F75" s="71"/>
    </row>
    <row r="76" spans="1:6" x14ac:dyDescent="0.2">
      <c r="A76" s="3"/>
      <c r="B76" s="3"/>
      <c r="C76" s="68"/>
      <c r="D76" s="68"/>
    </row>
    <row r="78" spans="1:6" x14ac:dyDescent="0.2">
      <c r="A78" s="8"/>
      <c r="B78" s="30"/>
      <c r="C78" s="30"/>
      <c r="D78" s="30"/>
    </row>
    <row r="80" spans="1:6" x14ac:dyDescent="0.2">
      <c r="B80" s="3"/>
      <c r="C80" s="54"/>
      <c r="D80" s="54"/>
      <c r="E80" s="61"/>
    </row>
    <row r="81" spans="1:5" x14ac:dyDescent="0.2">
      <c r="A81" s="31"/>
      <c r="C81" s="82"/>
      <c r="D81" s="82"/>
      <c r="E81" s="82"/>
    </row>
    <row r="82" spans="1:5" x14ac:dyDescent="0.2">
      <c r="A82" s="31"/>
      <c r="B82" s="55"/>
      <c r="C82" s="82"/>
      <c r="D82" s="82"/>
      <c r="E82" s="82"/>
    </row>
    <row r="83" spans="1:5" x14ac:dyDescent="0.2">
      <c r="A83" s="59"/>
      <c r="B83" s="3"/>
      <c r="C83" s="65"/>
      <c r="D83" s="65"/>
      <c r="E83" s="66"/>
    </row>
    <row r="84" spans="1:5" x14ac:dyDescent="0.2">
      <c r="A84" s="55"/>
      <c r="B84" s="55"/>
      <c r="C84" s="82"/>
      <c r="D84" s="82"/>
      <c r="E84" s="82"/>
    </row>
    <row r="85" spans="1:5" x14ac:dyDescent="0.2">
      <c r="A85" s="55"/>
      <c r="C85" s="82"/>
      <c r="D85" s="82"/>
      <c r="E85" s="82"/>
    </row>
    <row r="86" spans="1:5" x14ac:dyDescent="0.2">
      <c r="A86" s="55"/>
      <c r="C86" s="80"/>
      <c r="D86" s="80"/>
      <c r="E86" s="82"/>
    </row>
    <row r="87" spans="1:5" x14ac:dyDescent="0.2">
      <c r="A87" s="59"/>
      <c r="B87" s="3"/>
      <c r="C87" s="65"/>
      <c r="D87" s="65"/>
      <c r="E87" s="66"/>
    </row>
    <row r="88" spans="1:5" x14ac:dyDescent="0.2">
      <c r="A88" s="55"/>
      <c r="C88" s="80"/>
      <c r="D88" s="80"/>
      <c r="E88" s="80"/>
    </row>
    <row r="89" spans="1:5" x14ac:dyDescent="0.2">
      <c r="A89" s="3"/>
      <c r="B89" s="3"/>
      <c r="C89" s="66"/>
      <c r="D89" s="66"/>
      <c r="E89" s="66"/>
    </row>
    <row r="90" spans="1:5" x14ac:dyDescent="0.2">
      <c r="C90" s="80"/>
      <c r="D90" s="80"/>
      <c r="E90" s="80"/>
    </row>
    <row r="91" spans="1:5" x14ac:dyDescent="0.2">
      <c r="C91" s="80"/>
      <c r="D91" s="80"/>
      <c r="E91" s="80"/>
    </row>
    <row r="92" spans="1:5" x14ac:dyDescent="0.2">
      <c r="A92" s="16"/>
      <c r="B92" s="16"/>
      <c r="C92" s="71"/>
      <c r="D92" s="71"/>
      <c r="E92" s="72"/>
    </row>
    <row r="93" spans="1:5" x14ac:dyDescent="0.2">
      <c r="A93" s="16"/>
      <c r="B93" s="16"/>
      <c r="C93" s="71"/>
      <c r="D93" s="71"/>
      <c r="E93" s="71"/>
    </row>
    <row r="94" spans="1:5" x14ac:dyDescent="0.2">
      <c r="A94" s="3"/>
      <c r="B94" s="3"/>
      <c r="C94" s="68"/>
      <c r="D94" s="68"/>
    </row>
  </sheetData>
  <mergeCells count="2">
    <mergeCell ref="A1:I1"/>
    <mergeCell ref="A58:M6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"/>
  <sheetViews>
    <sheetView view="pageBreakPreview" topLeftCell="A3" zoomScale="60" zoomScaleNormal="100" workbookViewId="0">
      <selection activeCell="N50" sqref="N50"/>
    </sheetView>
  </sheetViews>
  <sheetFormatPr defaultRowHeight="12.75" x14ac:dyDescent="0.2"/>
  <cols>
    <col min="6" max="6" width="10.28515625" bestFit="1" customWidth="1"/>
  </cols>
  <sheetData>
    <row r="1" spans="1:6" x14ac:dyDescent="0.2">
      <c r="A1" t="s">
        <v>279</v>
      </c>
    </row>
    <row r="2" spans="1:6" x14ac:dyDescent="0.2">
      <c r="B2" s="146" t="s">
        <v>11</v>
      </c>
      <c r="F2" s="96">
        <f>SUM(F1:F1)</f>
        <v>0</v>
      </c>
    </row>
    <row r="3" spans="1:6" x14ac:dyDescent="0.2">
      <c r="A3" s="31">
        <v>2</v>
      </c>
      <c r="B3" s="30" t="s">
        <v>42</v>
      </c>
      <c r="C3" s="30" t="s">
        <v>43</v>
      </c>
      <c r="D3">
        <v>1102</v>
      </c>
      <c r="E3" s="31" t="s">
        <v>41</v>
      </c>
      <c r="F3">
        <v>800</v>
      </c>
    </row>
    <row r="4" spans="1:6" x14ac:dyDescent="0.2">
      <c r="A4" s="31">
        <v>3</v>
      </c>
      <c r="B4" s="30" t="s">
        <v>48</v>
      </c>
      <c r="C4" s="30" t="s">
        <v>49</v>
      </c>
      <c r="D4">
        <v>1101</v>
      </c>
      <c r="E4" s="31" t="s">
        <v>41</v>
      </c>
      <c r="F4">
        <v>800</v>
      </c>
    </row>
    <row r="5" spans="1:6" x14ac:dyDescent="0.2">
      <c r="A5" s="31">
        <v>4</v>
      </c>
      <c r="B5" s="30" t="s">
        <v>57</v>
      </c>
      <c r="C5" s="30" t="s">
        <v>58</v>
      </c>
      <c r="D5">
        <v>1102</v>
      </c>
      <c r="E5" s="31" t="s">
        <v>41</v>
      </c>
      <c r="F5">
        <v>800</v>
      </c>
    </row>
    <row r="6" spans="1:6" x14ac:dyDescent="0.2">
      <c r="A6" s="31">
        <v>5</v>
      </c>
      <c r="B6" s="146" t="s">
        <v>195</v>
      </c>
      <c r="C6" s="146" t="s">
        <v>196</v>
      </c>
      <c r="D6">
        <v>1101</v>
      </c>
      <c r="E6" s="31" t="s">
        <v>41</v>
      </c>
      <c r="F6">
        <v>800</v>
      </c>
    </row>
    <row r="7" spans="1:6" x14ac:dyDescent="0.2">
      <c r="A7" s="31">
        <v>6</v>
      </c>
      <c r="B7" s="30" t="s">
        <v>38</v>
      </c>
      <c r="C7" s="30" t="s">
        <v>39</v>
      </c>
      <c r="D7">
        <v>1102</v>
      </c>
      <c r="E7" s="31" t="s">
        <v>44</v>
      </c>
      <c r="F7">
        <v>800</v>
      </c>
    </row>
    <row r="8" spans="1:6" x14ac:dyDescent="0.2">
      <c r="A8" s="31">
        <v>7</v>
      </c>
      <c r="B8" s="30" t="s">
        <v>45</v>
      </c>
      <c r="C8" s="30" t="s">
        <v>46</v>
      </c>
      <c r="D8">
        <v>1102</v>
      </c>
      <c r="E8" s="31" t="s">
        <v>44</v>
      </c>
      <c r="F8">
        <v>800</v>
      </c>
    </row>
    <row r="9" spans="1:6" x14ac:dyDescent="0.2">
      <c r="A9" s="31">
        <v>9</v>
      </c>
      <c r="B9" s="30" t="s">
        <v>53</v>
      </c>
      <c r="C9" s="30" t="s">
        <v>54</v>
      </c>
      <c r="D9">
        <v>1102</v>
      </c>
      <c r="E9" s="31" t="s">
        <v>44</v>
      </c>
      <c r="F9">
        <v>800</v>
      </c>
    </row>
    <row r="10" spans="1:6" x14ac:dyDescent="0.2">
      <c r="A10" s="31">
        <v>10</v>
      </c>
      <c r="B10" s="30" t="s">
        <v>73</v>
      </c>
      <c r="C10" s="30" t="s">
        <v>74</v>
      </c>
      <c r="D10">
        <v>1101</v>
      </c>
      <c r="E10" s="31" t="s">
        <v>44</v>
      </c>
      <c r="F10">
        <v>800</v>
      </c>
    </row>
    <row r="11" spans="1:6" x14ac:dyDescent="0.2">
      <c r="A11" s="31">
        <v>11</v>
      </c>
      <c r="B11" s="30" t="s">
        <v>75</v>
      </c>
      <c r="C11" s="30" t="s">
        <v>76</v>
      </c>
      <c r="D11">
        <v>1101</v>
      </c>
      <c r="E11" s="31" t="s">
        <v>44</v>
      </c>
      <c r="F11">
        <v>800</v>
      </c>
    </row>
    <row r="12" spans="1:6" x14ac:dyDescent="0.2">
      <c r="A12" s="31">
        <v>14</v>
      </c>
      <c r="B12" s="146" t="s">
        <v>77</v>
      </c>
      <c r="C12" s="30" t="s">
        <v>78</v>
      </c>
      <c r="D12">
        <v>1101</v>
      </c>
      <c r="E12" s="39" t="s">
        <v>44</v>
      </c>
      <c r="F12">
        <v>800</v>
      </c>
    </row>
    <row r="13" spans="1:6" x14ac:dyDescent="0.2">
      <c r="A13" s="31">
        <v>15</v>
      </c>
      <c r="B13" s="30" t="s">
        <v>60</v>
      </c>
      <c r="C13" s="30" t="s">
        <v>61</v>
      </c>
      <c r="D13">
        <v>1101</v>
      </c>
      <c r="E13" s="31" t="s">
        <v>44</v>
      </c>
      <c r="F13">
        <v>800</v>
      </c>
    </row>
    <row r="14" spans="1:6" x14ac:dyDescent="0.2">
      <c r="A14" s="31">
        <v>17</v>
      </c>
      <c r="B14" s="30" t="s">
        <v>79</v>
      </c>
      <c r="C14" s="30" t="s">
        <v>80</v>
      </c>
      <c r="D14">
        <v>1102</v>
      </c>
      <c r="E14" s="31" t="s">
        <v>44</v>
      </c>
      <c r="F14">
        <v>800</v>
      </c>
    </row>
    <row r="15" spans="1:6" x14ac:dyDescent="0.2">
      <c r="A15" s="31">
        <v>18</v>
      </c>
      <c r="B15" s="30" t="s">
        <v>141</v>
      </c>
      <c r="C15" s="30" t="s">
        <v>142</v>
      </c>
      <c r="D15">
        <v>1101</v>
      </c>
      <c r="E15" s="31" t="s">
        <v>44</v>
      </c>
      <c r="F15">
        <v>800</v>
      </c>
    </row>
    <row r="16" spans="1:6" x14ac:dyDescent="0.2">
      <c r="A16" s="31">
        <v>20</v>
      </c>
      <c r="B16" s="30" t="s">
        <v>164</v>
      </c>
      <c r="C16" s="30" t="s">
        <v>110</v>
      </c>
      <c r="D16">
        <v>1102</v>
      </c>
      <c r="E16" s="31" t="s">
        <v>44</v>
      </c>
      <c r="F16">
        <v>800</v>
      </c>
    </row>
    <row r="17" spans="1:6" x14ac:dyDescent="0.2">
      <c r="A17" s="31">
        <v>22</v>
      </c>
      <c r="B17" s="146" t="s">
        <v>162</v>
      </c>
      <c r="C17" s="146" t="s">
        <v>163</v>
      </c>
      <c r="D17">
        <v>1101</v>
      </c>
      <c r="E17" s="31" t="s">
        <v>44</v>
      </c>
      <c r="F17">
        <v>800</v>
      </c>
    </row>
    <row r="18" spans="1:6" x14ac:dyDescent="0.2">
      <c r="A18" s="31">
        <v>25</v>
      </c>
      <c r="B18" s="146" t="s">
        <v>200</v>
      </c>
      <c r="C18" s="146" t="s">
        <v>197</v>
      </c>
      <c r="D18">
        <v>1101</v>
      </c>
      <c r="E18" s="31" t="s">
        <v>44</v>
      </c>
      <c r="F18">
        <v>800</v>
      </c>
    </row>
    <row r="19" spans="1:6" x14ac:dyDescent="0.2">
      <c r="A19" s="31">
        <v>26</v>
      </c>
      <c r="B19" s="146" t="s">
        <v>247</v>
      </c>
      <c r="C19" s="146" t="s">
        <v>218</v>
      </c>
      <c r="D19">
        <v>1101</v>
      </c>
      <c r="E19" s="145" t="s">
        <v>44</v>
      </c>
      <c r="F19">
        <v>800</v>
      </c>
    </row>
    <row r="20" spans="1:6" x14ac:dyDescent="0.2">
      <c r="A20" s="31">
        <v>27</v>
      </c>
      <c r="B20" s="146" t="s">
        <v>248</v>
      </c>
      <c r="C20" s="146" t="s">
        <v>196</v>
      </c>
      <c r="D20">
        <v>1101</v>
      </c>
      <c r="E20" s="145" t="s">
        <v>44</v>
      </c>
      <c r="F20">
        <v>800</v>
      </c>
    </row>
    <row r="21" spans="1:6" x14ac:dyDescent="0.2">
      <c r="A21" s="31">
        <v>28</v>
      </c>
      <c r="B21" s="30" t="s">
        <v>65</v>
      </c>
      <c r="C21" s="30" t="s">
        <v>66</v>
      </c>
      <c r="D21">
        <v>1102</v>
      </c>
      <c r="E21" s="31" t="s">
        <v>47</v>
      </c>
      <c r="F21">
        <v>800</v>
      </c>
    </row>
    <row r="22" spans="1:6" x14ac:dyDescent="0.2">
      <c r="A22" s="31">
        <v>30</v>
      </c>
      <c r="B22" s="30" t="s">
        <v>92</v>
      </c>
      <c r="C22" s="30" t="s">
        <v>93</v>
      </c>
      <c r="D22">
        <v>1101</v>
      </c>
      <c r="E22" s="31" t="s">
        <v>47</v>
      </c>
      <c r="F22">
        <v>800</v>
      </c>
    </row>
    <row r="23" spans="1:6" x14ac:dyDescent="0.2">
      <c r="A23" s="31">
        <v>32</v>
      </c>
      <c r="B23" s="30" t="s">
        <v>94</v>
      </c>
      <c r="C23" s="30" t="s">
        <v>95</v>
      </c>
      <c r="D23">
        <v>1102</v>
      </c>
      <c r="E23" s="31" t="s">
        <v>47</v>
      </c>
      <c r="F23">
        <v>800</v>
      </c>
    </row>
    <row r="24" spans="1:6" x14ac:dyDescent="0.2">
      <c r="A24" s="31">
        <v>33</v>
      </c>
      <c r="B24" s="30" t="s">
        <v>96</v>
      </c>
      <c r="C24" s="30" t="s">
        <v>97</v>
      </c>
      <c r="D24">
        <v>1102</v>
      </c>
      <c r="E24" s="31" t="s">
        <v>47</v>
      </c>
      <c r="F24">
        <v>800</v>
      </c>
    </row>
    <row r="25" spans="1:6" x14ac:dyDescent="0.2">
      <c r="A25" s="31">
        <v>34</v>
      </c>
      <c r="B25" s="30" t="s">
        <v>89</v>
      </c>
      <c r="C25" s="30" t="s">
        <v>90</v>
      </c>
      <c r="D25">
        <v>1102</v>
      </c>
      <c r="E25" s="31" t="s">
        <v>47</v>
      </c>
      <c r="F25">
        <v>800</v>
      </c>
    </row>
    <row r="26" spans="1:6" x14ac:dyDescent="0.2">
      <c r="A26" s="31">
        <v>35</v>
      </c>
      <c r="B26" s="30" t="s">
        <v>68</v>
      </c>
      <c r="C26" s="30" t="s">
        <v>61</v>
      </c>
      <c r="D26">
        <v>1102</v>
      </c>
      <c r="E26" s="31" t="s">
        <v>47</v>
      </c>
      <c r="F26">
        <v>800</v>
      </c>
    </row>
    <row r="27" spans="1:6" x14ac:dyDescent="0.2">
      <c r="A27" s="31">
        <v>36</v>
      </c>
      <c r="B27" s="30" t="s">
        <v>100</v>
      </c>
      <c r="C27" s="30" t="s">
        <v>105</v>
      </c>
      <c r="D27">
        <v>1101</v>
      </c>
      <c r="E27" s="31" t="s">
        <v>47</v>
      </c>
      <c r="F27">
        <v>800</v>
      </c>
    </row>
    <row r="28" spans="1:6" x14ac:dyDescent="0.2">
      <c r="A28" s="31">
        <v>37</v>
      </c>
      <c r="B28" s="30" t="s">
        <v>109</v>
      </c>
      <c r="C28" s="30" t="s">
        <v>110</v>
      </c>
      <c r="D28">
        <v>1102</v>
      </c>
      <c r="E28" s="31" t="s">
        <v>47</v>
      </c>
      <c r="F28">
        <v>800</v>
      </c>
    </row>
    <row r="29" spans="1:6" x14ac:dyDescent="0.2">
      <c r="A29" s="31">
        <v>38</v>
      </c>
      <c r="B29" s="30" t="s">
        <v>107</v>
      </c>
      <c r="C29" s="30" t="s">
        <v>108</v>
      </c>
      <c r="D29">
        <v>1102</v>
      </c>
      <c r="E29" s="31" t="s">
        <v>47</v>
      </c>
      <c r="F29">
        <v>800</v>
      </c>
    </row>
    <row r="30" spans="1:6" x14ac:dyDescent="0.2">
      <c r="A30" s="31">
        <v>39</v>
      </c>
      <c r="B30" s="30" t="s">
        <v>99</v>
      </c>
      <c r="C30" s="30" t="s">
        <v>64</v>
      </c>
      <c r="D30">
        <v>1102</v>
      </c>
      <c r="E30" s="31" t="s">
        <v>47</v>
      </c>
      <c r="F30">
        <v>800</v>
      </c>
    </row>
    <row r="31" spans="1:6" x14ac:dyDescent="0.2">
      <c r="A31" s="145">
        <v>44</v>
      </c>
      <c r="B31" s="146" t="s">
        <v>63</v>
      </c>
      <c r="C31" s="146" t="s">
        <v>64</v>
      </c>
      <c r="D31" s="146">
        <v>1101</v>
      </c>
      <c r="E31" s="145" t="s">
        <v>158</v>
      </c>
      <c r="F31">
        <v>800</v>
      </c>
    </row>
    <row r="32" spans="1:6" x14ac:dyDescent="0.2">
      <c r="A32" s="31">
        <v>45</v>
      </c>
      <c r="B32" s="30" t="s">
        <v>82</v>
      </c>
      <c r="C32" s="30" t="s">
        <v>83</v>
      </c>
      <c r="D32">
        <v>1101</v>
      </c>
      <c r="E32" s="31" t="s">
        <v>85</v>
      </c>
      <c r="F32">
        <v>800</v>
      </c>
    </row>
    <row r="33" spans="1:6" x14ac:dyDescent="0.2">
      <c r="A33" s="31">
        <v>46</v>
      </c>
      <c r="B33" s="30" t="s">
        <v>100</v>
      </c>
      <c r="C33" s="30" t="s">
        <v>101</v>
      </c>
      <c r="D33">
        <v>1102</v>
      </c>
      <c r="E33" s="31" t="s">
        <v>85</v>
      </c>
      <c r="F33">
        <v>800</v>
      </c>
    </row>
    <row r="34" spans="1:6" x14ac:dyDescent="0.2">
      <c r="A34" s="26">
        <v>1</v>
      </c>
      <c r="B34" s="30" t="s">
        <v>160</v>
      </c>
      <c r="C34" s="30" t="s">
        <v>161</v>
      </c>
      <c r="D34">
        <v>1101</v>
      </c>
      <c r="E34" s="31" t="s">
        <v>37</v>
      </c>
      <c r="F34">
        <v>700</v>
      </c>
    </row>
    <row r="35" spans="1:6" x14ac:dyDescent="0.2">
      <c r="A35" s="31">
        <v>19</v>
      </c>
      <c r="B35" s="30" t="s">
        <v>156</v>
      </c>
      <c r="C35" s="30" t="s">
        <v>138</v>
      </c>
      <c r="D35">
        <v>1101</v>
      </c>
      <c r="E35" s="31" t="s">
        <v>44</v>
      </c>
      <c r="F35">
        <v>700</v>
      </c>
    </row>
    <row r="36" spans="1:6" x14ac:dyDescent="0.2">
      <c r="A36" s="31">
        <v>21</v>
      </c>
      <c r="B36" s="30" t="s">
        <v>153</v>
      </c>
      <c r="C36" s="30" t="s">
        <v>154</v>
      </c>
      <c r="D36">
        <v>1101</v>
      </c>
      <c r="E36" s="31" t="s">
        <v>44</v>
      </c>
      <c r="F36">
        <v>700</v>
      </c>
    </row>
    <row r="37" spans="1:6" x14ac:dyDescent="0.2">
      <c r="A37" s="31">
        <v>47</v>
      </c>
      <c r="B37" s="30" t="s">
        <v>51</v>
      </c>
      <c r="C37" s="30" t="s">
        <v>52</v>
      </c>
      <c r="D37">
        <v>1101</v>
      </c>
      <c r="E37" s="31" t="s">
        <v>85</v>
      </c>
      <c r="F37">
        <v>700</v>
      </c>
    </row>
    <row r="38" spans="1:6" x14ac:dyDescent="0.2">
      <c r="A38" s="31">
        <v>8</v>
      </c>
      <c r="B38" s="30" t="s">
        <v>71</v>
      </c>
      <c r="C38" s="30" t="s">
        <v>72</v>
      </c>
      <c r="D38">
        <v>1101</v>
      </c>
      <c r="E38" s="145" t="s">
        <v>44</v>
      </c>
      <c r="F38">
        <v>600</v>
      </c>
    </row>
    <row r="39" spans="1:6" ht="10.5" customHeight="1" x14ac:dyDescent="0.2">
      <c r="A39" s="31">
        <v>12</v>
      </c>
      <c r="B39" s="30" t="s">
        <v>69</v>
      </c>
      <c r="C39" s="30" t="s">
        <v>70</v>
      </c>
      <c r="D39">
        <v>1102</v>
      </c>
      <c r="E39" s="31" t="s">
        <v>44</v>
      </c>
      <c r="F39">
        <v>600</v>
      </c>
    </row>
    <row r="40" spans="1:6" x14ac:dyDescent="0.2">
      <c r="A40" s="31">
        <v>13</v>
      </c>
      <c r="B40" s="30" t="s">
        <v>55</v>
      </c>
      <c r="C40" s="30" t="s">
        <v>56</v>
      </c>
      <c r="D40">
        <v>1101</v>
      </c>
      <c r="E40" s="31" t="s">
        <v>44</v>
      </c>
      <c r="F40">
        <v>600</v>
      </c>
    </row>
    <row r="41" spans="1:6" x14ac:dyDescent="0.2">
      <c r="A41" s="31">
        <v>16</v>
      </c>
      <c r="B41" s="30" t="s">
        <v>81</v>
      </c>
      <c r="C41" s="30" t="s">
        <v>80</v>
      </c>
      <c r="D41">
        <v>1101</v>
      </c>
      <c r="E41" s="31" t="s">
        <v>44</v>
      </c>
      <c r="F41">
        <v>600</v>
      </c>
    </row>
    <row r="42" spans="1:6" x14ac:dyDescent="0.2">
      <c r="A42" s="31">
        <v>42</v>
      </c>
      <c r="B42" s="146" t="s">
        <v>249</v>
      </c>
      <c r="C42" s="146" t="s">
        <v>80</v>
      </c>
      <c r="D42">
        <v>1102</v>
      </c>
      <c r="E42" s="145" t="s">
        <v>47</v>
      </c>
      <c r="F42">
        <v>600</v>
      </c>
    </row>
    <row r="43" spans="1:6" x14ac:dyDescent="0.2">
      <c r="A43" s="31">
        <v>29</v>
      </c>
      <c r="B43" s="30" t="s">
        <v>86</v>
      </c>
      <c r="C43" s="30" t="s">
        <v>87</v>
      </c>
      <c r="D43">
        <v>1101</v>
      </c>
      <c r="E43" s="31" t="s">
        <v>47</v>
      </c>
      <c r="F43">
        <v>400</v>
      </c>
    </row>
    <row r="44" spans="1:6" x14ac:dyDescent="0.2">
      <c r="A44" s="31">
        <v>31</v>
      </c>
      <c r="B44" s="146" t="s">
        <v>275</v>
      </c>
      <c r="C44" s="146" t="s">
        <v>276</v>
      </c>
      <c r="D44">
        <v>1102</v>
      </c>
      <c r="E44" s="31" t="s">
        <v>47</v>
      </c>
      <c r="F44">
        <v>400</v>
      </c>
    </row>
    <row r="45" spans="1:6" s="3" customFormat="1" x14ac:dyDescent="0.2">
      <c r="A45" s="26"/>
      <c r="B45" s="162" t="s">
        <v>11</v>
      </c>
      <c r="C45" s="162"/>
      <c r="E45" s="26"/>
      <c r="F45" s="3">
        <f>SUM(F3:F44)</f>
        <v>31400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48"/>
  <sheetViews>
    <sheetView tabSelected="1" workbookViewId="0">
      <selection activeCell="A4" sqref="A4"/>
    </sheetView>
  </sheetViews>
  <sheetFormatPr defaultColWidth="10.28515625" defaultRowHeight="12.75" x14ac:dyDescent="0.2"/>
  <cols>
    <col min="1" max="1" width="81.28515625" bestFit="1" customWidth="1"/>
    <col min="2" max="2" width="22.140625" customWidth="1"/>
    <col min="3" max="3" width="23.7109375" bestFit="1" customWidth="1"/>
    <col min="4" max="12" width="10.28515625" customWidth="1"/>
    <col min="13" max="13" width="10.28515625" style="37" customWidth="1"/>
    <col min="14" max="15" width="10.28515625" customWidth="1"/>
    <col min="16" max="16" width="13.28515625" style="1" customWidth="1"/>
    <col min="17" max="17" width="10.28515625" style="1" customWidth="1"/>
    <col min="18" max="18" width="10.28515625" style="2" customWidth="1"/>
    <col min="19" max="19" width="10.28515625" style="36" customWidth="1"/>
  </cols>
  <sheetData>
    <row r="1" spans="1:19" ht="15" x14ac:dyDescent="0.2">
      <c r="A1" s="714" t="s">
        <v>416</v>
      </c>
      <c r="B1" s="714"/>
      <c r="C1" s="714"/>
      <c r="D1" s="3"/>
      <c r="E1" s="3"/>
      <c r="F1" s="3"/>
      <c r="G1" s="3"/>
      <c r="H1" s="3"/>
      <c r="I1" s="3"/>
      <c r="J1" s="3"/>
      <c r="K1" s="3"/>
      <c r="L1" s="3"/>
      <c r="M1" s="129"/>
      <c r="N1" s="3"/>
      <c r="O1" s="3"/>
      <c r="P1" s="4"/>
      <c r="Q1" s="4"/>
    </row>
    <row r="2" spans="1:19" ht="15.75" thickBot="1" x14ac:dyDescent="0.25">
      <c r="A2" s="431"/>
      <c r="B2" s="430"/>
      <c r="C2" s="430"/>
      <c r="E2" s="31"/>
      <c r="F2" s="38"/>
      <c r="G2" s="38"/>
      <c r="H2" s="32"/>
      <c r="I2" s="39"/>
      <c r="J2" s="39"/>
      <c r="K2" s="39"/>
      <c r="L2" s="170"/>
      <c r="M2" s="32"/>
      <c r="N2" s="170"/>
      <c r="O2" s="83"/>
      <c r="P2" s="40"/>
      <c r="Q2" s="40"/>
      <c r="R2" s="40"/>
      <c r="S2" s="135"/>
    </row>
    <row r="3" spans="1:19" ht="15" x14ac:dyDescent="0.2">
      <c r="A3" s="438" t="s">
        <v>419</v>
      </c>
      <c r="B3" s="439">
        <v>242889.25</v>
      </c>
      <c r="C3" s="430"/>
      <c r="E3" s="31"/>
      <c r="F3" s="38"/>
      <c r="G3" s="38"/>
      <c r="H3" s="32"/>
      <c r="I3" s="39"/>
      <c r="J3" s="39"/>
      <c r="K3" s="39"/>
      <c r="L3" s="170"/>
      <c r="M3" s="32"/>
      <c r="N3" s="170"/>
      <c r="O3" s="83"/>
      <c r="P3" s="40"/>
      <c r="Q3" s="40"/>
      <c r="R3" s="40"/>
      <c r="S3" s="135"/>
    </row>
    <row r="4" spans="1:19" ht="15" x14ac:dyDescent="0.2">
      <c r="A4" s="440" t="s">
        <v>343</v>
      </c>
      <c r="B4" s="441"/>
      <c r="C4" s="430"/>
      <c r="E4" s="31"/>
      <c r="F4" s="38"/>
      <c r="G4" s="38"/>
      <c r="H4" s="32"/>
      <c r="I4" s="39"/>
      <c r="J4" s="39"/>
      <c r="K4" s="39"/>
      <c r="L4" s="170"/>
      <c r="M4" s="32"/>
      <c r="N4" s="170"/>
      <c r="O4" s="83"/>
      <c r="P4" s="40"/>
      <c r="Q4" s="40"/>
      <c r="R4" s="40"/>
      <c r="S4" s="135"/>
    </row>
    <row r="5" spans="1:19" ht="15" x14ac:dyDescent="0.2">
      <c r="A5" s="442" t="s">
        <v>417</v>
      </c>
      <c r="B5" s="443">
        <f>B3-B4</f>
        <v>242889.25</v>
      </c>
      <c r="C5" s="430"/>
      <c r="E5" s="31"/>
      <c r="F5" s="107"/>
      <c r="G5" s="38"/>
      <c r="H5" s="32"/>
      <c r="I5" s="39"/>
      <c r="J5" s="39"/>
      <c r="K5" s="39"/>
      <c r="L5" s="170"/>
      <c r="M5" s="32"/>
      <c r="N5" s="170"/>
      <c r="O5" s="83"/>
      <c r="P5" s="40"/>
      <c r="Q5" s="40"/>
      <c r="R5" s="40"/>
      <c r="S5" s="135"/>
    </row>
    <row r="6" spans="1:19" ht="15" x14ac:dyDescent="0.2">
      <c r="A6" s="440"/>
      <c r="B6" s="444"/>
      <c r="C6" s="430"/>
      <c r="E6" s="31"/>
      <c r="F6" s="43"/>
      <c r="G6" s="38"/>
      <c r="H6" s="32"/>
      <c r="I6" s="39"/>
      <c r="J6" s="39"/>
      <c r="K6" s="39"/>
      <c r="L6" s="170"/>
      <c r="M6" s="32"/>
      <c r="N6" s="170"/>
      <c r="O6" s="83"/>
      <c r="P6" s="40"/>
      <c r="Q6" s="40"/>
      <c r="R6" s="40"/>
      <c r="S6" s="135"/>
    </row>
    <row r="7" spans="1:19" ht="15" x14ac:dyDescent="0.2">
      <c r="A7" s="442" t="s">
        <v>314</v>
      </c>
      <c r="B7" s="444"/>
      <c r="C7" s="430"/>
      <c r="E7" s="31"/>
      <c r="F7" s="107"/>
      <c r="G7" s="38"/>
      <c r="H7" s="32"/>
      <c r="I7" s="39"/>
      <c r="J7" s="39"/>
      <c r="K7" s="39"/>
      <c r="L7" s="170"/>
      <c r="M7" s="32"/>
      <c r="N7" s="170"/>
      <c r="O7" s="83"/>
      <c r="P7" s="40"/>
      <c r="Q7" s="40"/>
      <c r="R7" s="40"/>
      <c r="S7" s="135"/>
    </row>
    <row r="8" spans="1:19" ht="15" x14ac:dyDescent="0.2">
      <c r="A8" s="440" t="s">
        <v>315</v>
      </c>
      <c r="B8" s="445">
        <v>55729.49</v>
      </c>
      <c r="C8" s="432"/>
      <c r="D8" s="26"/>
      <c r="E8" s="26"/>
      <c r="F8" s="26"/>
      <c r="G8" s="27"/>
      <c r="H8" s="27"/>
      <c r="I8" s="27"/>
      <c r="J8" s="27"/>
      <c r="K8" s="27"/>
      <c r="L8" s="27"/>
      <c r="M8" s="130"/>
      <c r="N8" s="26"/>
      <c r="O8" s="26"/>
      <c r="P8" s="26"/>
      <c r="Q8" s="26"/>
    </row>
    <row r="9" spans="1:19" s="688" customFormat="1" ht="15" x14ac:dyDescent="0.2">
      <c r="A9" s="685" t="s">
        <v>316</v>
      </c>
      <c r="B9" s="686">
        <v>0</v>
      </c>
      <c r="C9" s="687"/>
      <c r="E9" s="689"/>
      <c r="F9" s="690"/>
      <c r="G9" s="690"/>
      <c r="H9" s="691"/>
      <c r="I9" s="691"/>
      <c r="J9" s="692"/>
      <c r="K9" s="692"/>
      <c r="L9" s="692"/>
      <c r="M9" s="691"/>
      <c r="N9" s="693"/>
      <c r="O9" s="694"/>
      <c r="P9" s="695"/>
      <c r="Q9" s="695"/>
      <c r="R9" s="696"/>
      <c r="S9" s="697"/>
    </row>
    <row r="10" spans="1:19" ht="15" x14ac:dyDescent="0.2">
      <c r="A10" s="440" t="s">
        <v>212</v>
      </c>
      <c r="B10" s="445">
        <v>708.2</v>
      </c>
      <c r="C10" s="430"/>
      <c r="E10" s="31"/>
      <c r="F10" s="38"/>
      <c r="G10" s="38"/>
      <c r="H10" s="32"/>
      <c r="I10" s="32"/>
      <c r="J10" s="32"/>
      <c r="K10" s="32"/>
      <c r="L10" s="83"/>
      <c r="M10" s="32"/>
      <c r="N10" s="170"/>
      <c r="O10" s="32"/>
      <c r="P10" s="32"/>
      <c r="Q10" s="32"/>
      <c r="R10" s="32"/>
      <c r="S10" s="32"/>
    </row>
    <row r="11" spans="1:19" ht="15" x14ac:dyDescent="0.2">
      <c r="A11" s="440" t="s">
        <v>317</v>
      </c>
      <c r="B11" s="445">
        <f>CALCOLI!B50</f>
        <v>21894.6</v>
      </c>
      <c r="C11" s="430"/>
      <c r="E11" s="31"/>
      <c r="F11" s="3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ht="15" x14ac:dyDescent="0.2">
      <c r="A12" s="440" t="s">
        <v>19</v>
      </c>
      <c r="B12" s="445">
        <f>CALCOLI!B31</f>
        <v>13013.97</v>
      </c>
      <c r="C12" s="430"/>
      <c r="E12" s="31"/>
      <c r="F12" s="38"/>
      <c r="G12" s="38"/>
      <c r="H12" s="32"/>
      <c r="I12" s="32"/>
      <c r="J12" s="39"/>
      <c r="K12" s="39"/>
      <c r="L12" s="39"/>
      <c r="M12" s="32"/>
      <c r="N12" s="170"/>
      <c r="O12" s="83"/>
      <c r="P12" s="40"/>
      <c r="Q12" s="40"/>
      <c r="R12" s="45"/>
      <c r="S12" s="49"/>
    </row>
    <row r="13" spans="1:19" ht="15" x14ac:dyDescent="0.2">
      <c r="A13" s="440" t="s">
        <v>18</v>
      </c>
      <c r="B13" s="445">
        <f>CALCOLI!B33+CALCOLI!B52</f>
        <v>22690.29</v>
      </c>
      <c r="C13" s="430"/>
      <c r="E13" s="31"/>
      <c r="F13" s="38"/>
      <c r="G13" s="38"/>
      <c r="H13" s="32"/>
      <c r="I13" s="32"/>
      <c r="J13" s="39"/>
      <c r="K13" s="39"/>
      <c r="L13" s="39"/>
      <c r="M13" s="32"/>
      <c r="N13" s="170"/>
      <c r="O13" s="83"/>
      <c r="P13" s="40"/>
      <c r="Q13" s="40"/>
      <c r="R13" s="45"/>
      <c r="S13" s="49"/>
    </row>
    <row r="14" spans="1:19" ht="15.75" customHeight="1" x14ac:dyDescent="0.2">
      <c r="A14" s="440" t="s">
        <v>318</v>
      </c>
      <c r="B14" s="445">
        <f>CALCOLI!B35</f>
        <v>300</v>
      </c>
      <c r="C14" s="432"/>
      <c r="E14" s="31"/>
      <c r="F14" s="38"/>
      <c r="G14" s="38"/>
      <c r="H14" s="32"/>
      <c r="I14" s="32"/>
      <c r="J14" s="39"/>
      <c r="K14" s="39"/>
      <c r="L14" s="39"/>
      <c r="M14" s="32"/>
      <c r="N14" s="170"/>
      <c r="O14" s="83"/>
      <c r="P14" s="40"/>
      <c r="Q14" s="40"/>
      <c r="R14" s="45"/>
      <c r="S14" s="49"/>
    </row>
    <row r="15" spans="1:19" ht="15" x14ac:dyDescent="0.2">
      <c r="A15" s="440" t="s">
        <v>319</v>
      </c>
      <c r="B15" s="445">
        <f>CALCOLI!B38</f>
        <v>16632.009999999998</v>
      </c>
      <c r="C15" s="430"/>
      <c r="E15" s="31"/>
      <c r="F15" s="38"/>
      <c r="G15" s="38"/>
      <c r="H15" s="32"/>
      <c r="I15" s="32"/>
      <c r="J15" s="39"/>
      <c r="K15" s="39"/>
      <c r="L15" s="39"/>
      <c r="M15" s="32"/>
      <c r="O15" s="83"/>
      <c r="P15" s="40"/>
      <c r="Q15" s="40"/>
      <c r="R15" s="45"/>
      <c r="S15" s="42"/>
    </row>
    <row r="16" spans="1:19" ht="15.75" thickBot="1" x14ac:dyDescent="0.25">
      <c r="A16" s="440" t="s">
        <v>292</v>
      </c>
      <c r="B16" s="445">
        <f>CALCOLI!B36</f>
        <v>2499.9599999999996</v>
      </c>
      <c r="C16" s="430"/>
      <c r="E16" s="31"/>
      <c r="F16" s="38"/>
      <c r="G16" s="38"/>
      <c r="H16" s="32"/>
      <c r="I16" s="32"/>
      <c r="J16" s="39"/>
      <c r="K16" s="39"/>
      <c r="L16" s="39"/>
      <c r="M16" s="32"/>
      <c r="N16" s="34"/>
      <c r="O16" s="83"/>
      <c r="P16" s="40"/>
      <c r="Q16" s="40"/>
      <c r="R16" s="45"/>
      <c r="S16" s="42"/>
    </row>
    <row r="17" spans="1:27" ht="16.5" thickBot="1" x14ac:dyDescent="0.3">
      <c r="A17" s="440" t="s">
        <v>320</v>
      </c>
      <c r="B17" s="445">
        <f>'OBIETTIVI DI GRUPPO E IND(2)'!Y105</f>
        <v>57992.380000000005</v>
      </c>
      <c r="C17" s="430"/>
      <c r="E17" s="31"/>
      <c r="F17" s="43"/>
      <c r="G17" s="38"/>
      <c r="H17" s="32"/>
      <c r="I17" s="32"/>
      <c r="J17" s="39"/>
      <c r="K17" s="39"/>
      <c r="L17" s="39"/>
      <c r="M17" s="32"/>
      <c r="N17" s="34"/>
      <c r="O17" s="171"/>
      <c r="P17" s="172"/>
      <c r="Q17" s="173"/>
      <c r="R17" s="174"/>
      <c r="S17" s="42"/>
    </row>
    <row r="18" spans="1:27" ht="15" x14ac:dyDescent="0.2">
      <c r="A18" s="440" t="s">
        <v>321</v>
      </c>
      <c r="B18" s="445">
        <f>SISTEMA!S55</f>
        <v>15813.99</v>
      </c>
      <c r="C18" s="430"/>
      <c r="E18" s="26"/>
      <c r="F18" s="26"/>
      <c r="G18" s="26"/>
      <c r="H18" s="26"/>
      <c r="I18" s="26"/>
      <c r="J18" s="26"/>
      <c r="K18" s="26"/>
      <c r="L18" s="26"/>
      <c r="M18" s="84"/>
      <c r="N18" s="26"/>
      <c r="O18" s="26"/>
      <c r="P18" s="50"/>
      <c r="Q18" s="50"/>
    </row>
    <row r="19" spans="1:27" ht="15" x14ac:dyDescent="0.2">
      <c r="A19" s="440" t="s">
        <v>322</v>
      </c>
      <c r="B19" s="445">
        <f>istituzionali!P53</f>
        <v>31694.060000000005</v>
      </c>
      <c r="C19" s="433"/>
      <c r="E19" s="26"/>
      <c r="F19" s="26"/>
      <c r="G19" s="26"/>
      <c r="H19" s="26"/>
      <c r="I19" s="26"/>
      <c r="J19" s="26"/>
      <c r="K19" s="26"/>
      <c r="L19" s="26"/>
      <c r="M19" s="84"/>
      <c r="N19" s="26"/>
      <c r="O19" s="26"/>
      <c r="P19" s="50"/>
      <c r="Q19" s="50"/>
    </row>
    <row r="20" spans="1:27" ht="15" x14ac:dyDescent="0.2">
      <c r="A20" s="442" t="s">
        <v>323</v>
      </c>
      <c r="B20" s="443">
        <f>SUM(B8:B19)</f>
        <v>238968.94999999998</v>
      </c>
      <c r="C20" s="430"/>
      <c r="E20" s="195"/>
      <c r="F20" s="196"/>
      <c r="G20" s="196"/>
      <c r="H20" s="197"/>
      <c r="I20" s="197"/>
      <c r="J20" s="39"/>
      <c r="K20" s="39"/>
      <c r="L20" s="39"/>
      <c r="M20" s="32"/>
      <c r="N20" s="34"/>
      <c r="O20" s="34"/>
      <c r="P20" s="40"/>
      <c r="Q20" s="40"/>
    </row>
    <row r="21" spans="1:27" ht="15" x14ac:dyDescent="0.2">
      <c r="A21" s="442" t="s">
        <v>324</v>
      </c>
      <c r="B21" s="445">
        <f>CALCOLI!B82</f>
        <v>3205</v>
      </c>
      <c r="C21" s="430"/>
      <c r="E21" s="31"/>
      <c r="F21" s="51"/>
      <c r="G21" s="38"/>
      <c r="H21" s="32"/>
      <c r="I21" s="32"/>
      <c r="J21" s="39"/>
      <c r="K21" s="39"/>
      <c r="L21" s="39"/>
      <c r="M21" s="32"/>
      <c r="N21" s="34"/>
      <c r="O21" s="34"/>
      <c r="P21" s="40"/>
      <c r="Q21" s="40"/>
    </row>
    <row r="22" spans="1:27" ht="15" x14ac:dyDescent="0.2">
      <c r="A22" s="446"/>
      <c r="B22" s="443">
        <f>SUM(B20:B21)</f>
        <v>242173.94999999998</v>
      </c>
      <c r="C22" s="430"/>
      <c r="E22" s="31"/>
      <c r="F22" s="51"/>
      <c r="G22" s="38"/>
      <c r="H22" s="32"/>
      <c r="I22" s="32"/>
      <c r="J22" s="39"/>
      <c r="K22" s="39"/>
      <c r="L22" s="39"/>
      <c r="M22" s="32"/>
      <c r="N22" s="34" t="s">
        <v>325</v>
      </c>
      <c r="O22" s="34" t="s">
        <v>325</v>
      </c>
      <c r="P22" s="40" t="s">
        <v>325</v>
      </c>
      <c r="Q22" s="40" t="s">
        <v>325</v>
      </c>
      <c r="R22" s="45" t="s">
        <v>325</v>
      </c>
      <c r="S22" s="42" t="s">
        <v>325</v>
      </c>
      <c r="T22" t="s">
        <v>325</v>
      </c>
      <c r="U22" t="s">
        <v>325</v>
      </c>
      <c r="V22" t="s">
        <v>325</v>
      </c>
      <c r="W22" t="s">
        <v>325</v>
      </c>
      <c r="X22" t="s">
        <v>325</v>
      </c>
      <c r="Y22" t="s">
        <v>325</v>
      </c>
      <c r="Z22" t="s">
        <v>325</v>
      </c>
      <c r="AA22" t="s">
        <v>325</v>
      </c>
    </row>
    <row r="23" spans="1:27" ht="15.75" thickBot="1" x14ac:dyDescent="0.25">
      <c r="A23" s="434"/>
      <c r="B23" s="435"/>
      <c r="C23" s="430"/>
      <c r="P23" s="47"/>
      <c r="Q23" s="47"/>
      <c r="R23" s="45"/>
      <c r="S23" s="42"/>
    </row>
    <row r="24" spans="1:27" ht="15.75" thickBot="1" x14ac:dyDescent="0.25">
      <c r="A24" s="430"/>
      <c r="B24" s="430"/>
      <c r="C24" s="430"/>
      <c r="D24" s="30"/>
      <c r="E24" s="30"/>
      <c r="P24" s="47"/>
      <c r="Q24" s="47"/>
      <c r="R24" s="44"/>
      <c r="S24" s="46"/>
    </row>
    <row r="25" spans="1:27" ht="15" x14ac:dyDescent="0.2">
      <c r="A25" s="715" t="s">
        <v>418</v>
      </c>
      <c r="B25" s="716"/>
      <c r="C25" s="717"/>
      <c r="F25" s="3"/>
      <c r="G25" s="3"/>
      <c r="R25" s="47"/>
      <c r="S25" s="47"/>
    </row>
    <row r="26" spans="1:27" s="30" customFormat="1" ht="15" x14ac:dyDescent="0.2">
      <c r="A26" s="436"/>
      <c r="B26" s="430"/>
      <c r="C26" s="437"/>
      <c r="D26"/>
      <c r="E26"/>
      <c r="F26" s="166"/>
      <c r="G26" s="166"/>
      <c r="H26"/>
      <c r="I26"/>
      <c r="J26"/>
      <c r="K26"/>
      <c r="L26"/>
      <c r="M26" s="37"/>
      <c r="N26"/>
      <c r="O26"/>
      <c r="P26" s="1"/>
      <c r="Q26" s="1"/>
      <c r="R26" s="167"/>
      <c r="S26" s="167"/>
    </row>
    <row r="27" spans="1:27" x14ac:dyDescent="0.2">
      <c r="A27" s="447"/>
      <c r="B27" s="453" t="s">
        <v>326</v>
      </c>
      <c r="C27" s="454" t="s">
        <v>327</v>
      </c>
      <c r="F27" s="54"/>
      <c r="G27" s="54"/>
      <c r="N27" s="55"/>
      <c r="O27" s="55"/>
      <c r="R27" s="101"/>
      <c r="S27" s="165"/>
    </row>
    <row r="28" spans="1:27" x14ac:dyDescent="0.2">
      <c r="A28" s="447" t="s">
        <v>328</v>
      </c>
      <c r="B28" s="448">
        <f>CALCOLI!D59</f>
        <v>106643.37999999999</v>
      </c>
      <c r="C28" s="449">
        <f>CALCOLI!F89</f>
        <v>105500.43000000004</v>
      </c>
      <c r="F28" s="56"/>
      <c r="G28" s="56"/>
      <c r="N28" s="55"/>
      <c r="O28" s="55"/>
      <c r="R28" s="52"/>
      <c r="S28" s="53"/>
    </row>
    <row r="29" spans="1:27" x14ac:dyDescent="0.2">
      <c r="A29" s="447" t="s">
        <v>329</v>
      </c>
      <c r="B29" s="448">
        <f>[1]CONTEGGI!$B$17</f>
        <v>20436.980180672272</v>
      </c>
      <c r="C29" s="449">
        <f>[1]CONTEGGI!$G$74</f>
        <v>20165.124290628104</v>
      </c>
      <c r="F29" s="57"/>
      <c r="G29" s="57"/>
      <c r="H29" s="55"/>
      <c r="I29" s="55"/>
      <c r="J29" s="55"/>
      <c r="K29" s="55"/>
      <c r="L29" s="55"/>
      <c r="M29" s="128"/>
      <c r="N29" s="55"/>
      <c r="O29" s="55"/>
      <c r="P29" s="55"/>
      <c r="Q29" s="55"/>
    </row>
    <row r="30" spans="1:27" ht="13.5" thickBot="1" x14ac:dyDescent="0.25">
      <c r="A30" s="450" t="s">
        <v>330</v>
      </c>
      <c r="B30" s="451">
        <v>21119.09</v>
      </c>
      <c r="C30" s="452">
        <v>21119.09</v>
      </c>
      <c r="F30" s="58"/>
      <c r="G30" s="58"/>
      <c r="H30" s="59"/>
      <c r="I30" s="59"/>
      <c r="J30" s="59"/>
      <c r="K30" s="59"/>
      <c r="L30" s="59"/>
      <c r="M30" s="87"/>
      <c r="N30" s="59"/>
      <c r="O30" s="59"/>
      <c r="P30" s="59"/>
      <c r="Q30" s="59"/>
    </row>
    <row r="31" spans="1:27" x14ac:dyDescent="0.2">
      <c r="B31" s="3"/>
      <c r="C31" s="54"/>
      <c r="D31" s="63"/>
      <c r="E31" s="62"/>
      <c r="F31" s="57"/>
      <c r="G31" s="57"/>
      <c r="H31" s="55"/>
      <c r="I31" s="55"/>
      <c r="J31" s="55"/>
      <c r="K31" s="55"/>
      <c r="L31" s="55"/>
      <c r="M31" s="128"/>
      <c r="N31" s="55"/>
      <c r="O31" s="55"/>
      <c r="P31" s="55"/>
      <c r="Q31" s="55"/>
    </row>
    <row r="32" spans="1:27" s="3" customFormat="1" x14ac:dyDescent="0.2">
      <c r="A32"/>
      <c r="B32"/>
      <c r="C32" s="63"/>
      <c r="D32" s="63"/>
      <c r="E32" s="63"/>
      <c r="F32" s="54"/>
      <c r="G32" s="54"/>
      <c r="H32" s="55"/>
      <c r="I32" s="55"/>
      <c r="J32" s="55"/>
      <c r="K32" s="55"/>
      <c r="L32" s="55"/>
      <c r="M32" s="128"/>
      <c r="N32" s="55"/>
      <c r="O32" s="55"/>
      <c r="P32" s="55"/>
      <c r="Q32" s="55"/>
      <c r="R32" s="15"/>
      <c r="S32" s="60"/>
    </row>
    <row r="33" spans="1:19" x14ac:dyDescent="0.2">
      <c r="A33" s="31"/>
      <c r="B33" s="30"/>
      <c r="C33" s="30"/>
      <c r="E33" s="31"/>
      <c r="F33" s="38"/>
      <c r="G33" s="38"/>
      <c r="H33" s="32"/>
      <c r="I33" s="39"/>
      <c r="J33" s="39"/>
      <c r="K33" s="39"/>
      <c r="L33" s="39"/>
      <c r="M33" s="32"/>
      <c r="N33" s="34"/>
      <c r="O33" s="83"/>
      <c r="P33" s="40"/>
      <c r="Q33" s="40"/>
      <c r="R33" s="40"/>
      <c r="S33" s="135"/>
    </row>
    <row r="34" spans="1:19" x14ac:dyDescent="0.2">
      <c r="A34" s="31"/>
      <c r="B34" s="30"/>
      <c r="C34" s="30"/>
      <c r="E34" s="31"/>
      <c r="F34" s="38"/>
      <c r="G34" s="38"/>
      <c r="H34" s="32"/>
      <c r="I34" s="39"/>
      <c r="J34" s="39"/>
      <c r="K34" s="39"/>
      <c r="L34" s="39"/>
      <c r="M34" s="32"/>
      <c r="N34" s="34"/>
      <c r="O34" s="83"/>
      <c r="P34" s="40"/>
      <c r="Q34" s="40"/>
      <c r="R34" s="40"/>
      <c r="S34" s="135"/>
    </row>
    <row r="35" spans="1:19" x14ac:dyDescent="0.2">
      <c r="A35" s="31"/>
      <c r="B35" s="30"/>
      <c r="C35" s="30"/>
      <c r="E35" s="31"/>
      <c r="F35" s="38"/>
      <c r="G35" s="38"/>
      <c r="H35" s="32"/>
      <c r="I35" s="39"/>
      <c r="J35" s="39"/>
      <c r="K35" s="39"/>
      <c r="L35" s="39"/>
      <c r="M35" s="32"/>
      <c r="N35" s="34"/>
      <c r="O35" s="83"/>
      <c r="P35" s="40"/>
      <c r="Q35" s="40"/>
      <c r="R35" s="40"/>
      <c r="S35" s="135"/>
    </row>
    <row r="36" spans="1:19" x14ac:dyDescent="0.2">
      <c r="A36" s="31"/>
      <c r="B36" s="30"/>
      <c r="C36" s="30"/>
      <c r="E36" s="31"/>
      <c r="F36" s="38"/>
      <c r="G36" s="38"/>
      <c r="H36" s="32"/>
      <c r="I36" s="39"/>
      <c r="J36" s="39"/>
      <c r="K36" s="39"/>
      <c r="L36" s="39"/>
      <c r="M36" s="32"/>
      <c r="N36" s="34"/>
      <c r="O36" s="83"/>
      <c r="P36" s="40"/>
      <c r="Q36" s="40"/>
      <c r="R36" s="40"/>
      <c r="S36" s="135"/>
    </row>
    <row r="37" spans="1:19" x14ac:dyDescent="0.2">
      <c r="A37" s="31"/>
      <c r="B37" s="30"/>
      <c r="C37" s="30"/>
      <c r="E37" s="31"/>
      <c r="F37" s="107"/>
      <c r="G37" s="38"/>
      <c r="H37" s="32"/>
      <c r="I37" s="39"/>
      <c r="J37" s="39"/>
      <c r="K37" s="39"/>
      <c r="L37" s="39"/>
      <c r="M37" s="32"/>
      <c r="N37" s="34"/>
      <c r="O37" s="83"/>
      <c r="P37" s="40"/>
      <c r="Q37" s="40"/>
      <c r="R37" s="40"/>
      <c r="S37" s="135"/>
    </row>
    <row r="38" spans="1:19" x14ac:dyDescent="0.2">
      <c r="A38" s="31"/>
      <c r="B38" s="30"/>
      <c r="C38" s="30"/>
      <c r="E38" s="31"/>
      <c r="F38" s="38"/>
      <c r="G38" s="38"/>
      <c r="H38" s="32"/>
      <c r="I38" s="39"/>
      <c r="J38" s="39"/>
      <c r="K38" s="39"/>
      <c r="L38" s="39"/>
      <c r="M38" s="32"/>
      <c r="N38" s="34"/>
      <c r="O38" s="83"/>
      <c r="P38" s="40"/>
      <c r="Q38" s="40"/>
      <c r="R38" s="40"/>
      <c r="S38" s="135"/>
    </row>
    <row r="39" spans="1:19" x14ac:dyDescent="0.2">
      <c r="A39" s="31"/>
      <c r="B39" s="30"/>
      <c r="C39" s="30"/>
      <c r="E39" s="31"/>
      <c r="F39" s="107"/>
      <c r="G39" s="38"/>
      <c r="H39" s="32"/>
      <c r="I39" s="39"/>
      <c r="J39" s="39"/>
      <c r="K39" s="39"/>
      <c r="L39" s="39"/>
      <c r="M39" s="32"/>
      <c r="N39" s="34"/>
      <c r="O39" s="83"/>
      <c r="P39" s="40"/>
      <c r="Q39" s="40"/>
      <c r="R39" s="40"/>
      <c r="S39" s="135"/>
    </row>
    <row r="40" spans="1:19" x14ac:dyDescent="0.2">
      <c r="A40" s="31"/>
      <c r="B40" s="146"/>
      <c r="C40" s="30"/>
      <c r="E40" s="31"/>
      <c r="F40" s="107"/>
      <c r="G40" s="38"/>
      <c r="H40" s="32"/>
      <c r="I40" s="39"/>
      <c r="J40" s="39"/>
      <c r="K40" s="39"/>
      <c r="L40" s="39"/>
      <c r="M40" s="32"/>
      <c r="N40" s="34"/>
      <c r="O40" s="83"/>
      <c r="P40" s="40"/>
      <c r="Q40" s="40"/>
      <c r="R40" s="40"/>
      <c r="S40" s="135"/>
    </row>
    <row r="41" spans="1:19" x14ac:dyDescent="0.2">
      <c r="A41" s="31"/>
      <c r="B41" s="30"/>
      <c r="C41" s="30"/>
      <c r="E41" s="31"/>
      <c r="F41" s="43"/>
      <c r="G41" s="38"/>
      <c r="H41" s="32"/>
      <c r="I41" s="39"/>
      <c r="J41" s="39"/>
      <c r="K41" s="39"/>
      <c r="L41" s="39"/>
      <c r="M41" s="32"/>
      <c r="N41" s="34"/>
      <c r="O41" s="83"/>
      <c r="P41" s="40"/>
      <c r="Q41" s="40"/>
      <c r="R41" s="40"/>
      <c r="S41" s="135"/>
    </row>
    <row r="42" spans="1:19" x14ac:dyDescent="0.2">
      <c r="A42" s="31"/>
      <c r="B42" s="146"/>
      <c r="C42" s="30"/>
      <c r="E42" s="31"/>
      <c r="F42" s="43"/>
      <c r="G42" s="38"/>
      <c r="H42" s="32"/>
      <c r="I42" s="39"/>
      <c r="J42" s="39"/>
      <c r="K42" s="39"/>
      <c r="L42" s="39"/>
      <c r="M42" s="32"/>
      <c r="N42" s="34"/>
      <c r="O42" s="83"/>
      <c r="P42" s="40"/>
      <c r="Q42" s="40"/>
      <c r="R42" s="40"/>
      <c r="S42" s="135"/>
    </row>
    <row r="43" spans="1:19" s="16" customFormat="1" x14ac:dyDescent="0.2">
      <c r="A43" s="3"/>
      <c r="B43"/>
      <c r="C43" s="41"/>
      <c r="D43" s="41"/>
      <c r="E43" s="41"/>
      <c r="F43"/>
      <c r="G43"/>
      <c r="H43"/>
      <c r="I43"/>
      <c r="J43"/>
      <c r="K43"/>
      <c r="L43"/>
      <c r="M43" s="37"/>
      <c r="N43" s="169"/>
      <c r="O43"/>
      <c r="P43" s="1"/>
      <c r="Q43" s="1"/>
      <c r="R43" s="17"/>
      <c r="S43" s="70"/>
    </row>
    <row r="44" spans="1:19" s="16" customFormat="1" x14ac:dyDescent="0.2">
      <c r="A44"/>
      <c r="B44"/>
      <c r="C44" s="41"/>
      <c r="D44" s="41"/>
      <c r="E44" s="41"/>
      <c r="F44"/>
      <c r="G44"/>
      <c r="H44"/>
      <c r="I44"/>
      <c r="J44"/>
      <c r="K44"/>
      <c r="L44"/>
      <c r="M44" s="37"/>
      <c r="N44"/>
      <c r="O44"/>
      <c r="P44" s="1"/>
      <c r="Q44" s="1"/>
      <c r="R44" s="17"/>
      <c r="S44" s="70"/>
    </row>
    <row r="45" spans="1:19" x14ac:dyDescent="0.2">
      <c r="B45" s="16"/>
      <c r="C45" s="71"/>
      <c r="D45" s="72"/>
      <c r="E45" s="71"/>
    </row>
    <row r="46" spans="1:19" x14ac:dyDescent="0.2">
      <c r="A46" s="16"/>
      <c r="B46" s="16"/>
      <c r="C46" s="71"/>
      <c r="D46" s="71"/>
      <c r="E46" s="71"/>
    </row>
    <row r="47" spans="1:19" x14ac:dyDescent="0.2">
      <c r="A47" s="16"/>
      <c r="B47" s="16"/>
      <c r="C47" s="71"/>
      <c r="D47" s="71"/>
      <c r="E47" s="71"/>
    </row>
    <row r="48" spans="1:19" x14ac:dyDescent="0.2">
      <c r="A48" s="16"/>
      <c r="C48" s="2"/>
      <c r="D48" s="41"/>
      <c r="E48" s="41"/>
    </row>
  </sheetData>
  <mergeCells count="2">
    <mergeCell ref="A1:C1"/>
    <mergeCell ref="A25:C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13</vt:i4>
      </vt:variant>
    </vt:vector>
  </HeadingPairs>
  <TitlesOfParts>
    <vt:vector size="21" baseType="lpstr">
      <vt:lpstr>CALCOLI</vt:lpstr>
      <vt:lpstr>SISTEMA</vt:lpstr>
      <vt:lpstr>OBIETTIVI DI GRUPPO E IND(2)</vt:lpstr>
      <vt:lpstr>istituzionali</vt:lpstr>
      <vt:lpstr>totali</vt:lpstr>
      <vt:lpstr>conto annuale</vt:lpstr>
      <vt:lpstr>Foglio1</vt:lpstr>
      <vt:lpstr>PER SITO</vt:lpstr>
      <vt:lpstr>CALCOLI!Area_stampa</vt:lpstr>
      <vt:lpstr>'conto annuale'!Area_stampa</vt:lpstr>
      <vt:lpstr>Foglio1!Area_stampa</vt:lpstr>
      <vt:lpstr>istituzionali!Area_stampa</vt:lpstr>
      <vt:lpstr>'OBIETTIVI DI GRUPPO E IND(2)'!Area_stampa</vt:lpstr>
      <vt:lpstr>'PER SITO'!Area_stampa</vt:lpstr>
      <vt:lpstr>SISTEMA!Area_stampa</vt:lpstr>
      <vt:lpstr>totali!Area_stampa</vt:lpstr>
      <vt:lpstr>tabella</vt:lpstr>
      <vt:lpstr>tabella3</vt:lpstr>
      <vt:lpstr>istituzionali!Titoli_stampa</vt:lpstr>
      <vt:lpstr>'OBIETTIVI DI GRUPPO E IND(2)'!Titoli_stampa</vt:lpstr>
      <vt:lpstr>SISTEMA!Titoli_stampa</vt:lpstr>
    </vt:vector>
  </TitlesOfParts>
  <Company>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ITIS</dc:creator>
  <cp:lastModifiedBy>Isabella Biasiolo</cp:lastModifiedBy>
  <cp:lastPrinted>2020-07-23T11:57:02Z</cp:lastPrinted>
  <dcterms:created xsi:type="dcterms:W3CDTF">2002-07-11T07:20:30Z</dcterms:created>
  <dcterms:modified xsi:type="dcterms:W3CDTF">2022-10-18T10:54:12Z</dcterms:modified>
</cp:coreProperties>
</file>